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3256" windowHeight="13176" activeTab="2"/>
  </bookViews>
  <sheets>
    <sheet name="SPAZZAMENTO" sheetId="4" r:id="rId1"/>
    <sheet name="RACCOLTA DIFF. E IMPIANTI" sheetId="5" r:id="rId2"/>
    <sheet name="PULIZIA" sheetId="1" r:id="rId3"/>
  </sheets>
  <calcPr calcId="145621"/>
</workbook>
</file>

<file path=xl/calcChain.xml><?xml version="1.0" encoding="utf-8"?>
<calcChain xmlns="http://schemas.openxmlformats.org/spreadsheetml/2006/main">
  <c r="H28" i="1" l="1"/>
  <c r="G28" i="1"/>
  <c r="F28" i="1"/>
  <c r="E28" i="1"/>
  <c r="D28" i="1"/>
  <c r="C28" i="1"/>
  <c r="H28" i="5"/>
  <c r="G28" i="5"/>
  <c r="F28" i="5"/>
  <c r="E28" i="5"/>
  <c r="D28" i="5"/>
  <c r="C28" i="5"/>
  <c r="E28" i="4"/>
  <c r="D28" i="4"/>
  <c r="C28" i="4"/>
  <c r="C38" i="1"/>
  <c r="H9" i="5"/>
  <c r="E9" i="5"/>
  <c r="D9" i="5"/>
  <c r="C9" i="5"/>
  <c r="C9" i="4"/>
  <c r="C32" i="5"/>
  <c r="I43" i="5" l="1"/>
  <c r="C24" i="4"/>
  <c r="C25" i="4"/>
  <c r="C24" i="5"/>
  <c r="C21" i="5"/>
  <c r="C7" i="1"/>
  <c r="F35" i="4"/>
  <c r="I9" i="1"/>
  <c r="C7" i="5" l="1"/>
  <c r="C45" i="5"/>
  <c r="C32" i="4"/>
  <c r="C22" i="4"/>
  <c r="D21" i="5" l="1"/>
  <c r="C25" i="1"/>
  <c r="C26" i="1"/>
  <c r="D24" i="1"/>
  <c r="C24" i="1"/>
  <c r="F25" i="4"/>
  <c r="C26" i="5"/>
  <c r="C25" i="5"/>
  <c r="C26" i="4"/>
  <c r="H26" i="1"/>
  <c r="H25" i="1"/>
  <c r="H24" i="1"/>
  <c r="G26" i="1"/>
  <c r="G25" i="1"/>
  <c r="G24" i="1"/>
  <c r="F26" i="1"/>
  <c r="F25" i="1"/>
  <c r="F24" i="1"/>
  <c r="E26" i="1"/>
  <c r="E25" i="1"/>
  <c r="E24" i="1"/>
  <c r="D26" i="1"/>
  <c r="D25" i="1"/>
  <c r="H26" i="5"/>
  <c r="H25" i="5"/>
  <c r="H24" i="5"/>
  <c r="G26" i="5"/>
  <c r="G25" i="5"/>
  <c r="G24" i="5"/>
  <c r="F26" i="5"/>
  <c r="F25" i="5"/>
  <c r="F24" i="5"/>
  <c r="E26" i="5"/>
  <c r="E25" i="5"/>
  <c r="E24" i="5"/>
  <c r="D26" i="5"/>
  <c r="D25" i="5"/>
  <c r="D24" i="5"/>
  <c r="E26" i="4"/>
  <c r="E25" i="4"/>
  <c r="E24" i="4"/>
  <c r="D26" i="4"/>
  <c r="D25" i="4"/>
  <c r="D24" i="4"/>
  <c r="C20" i="4" l="1"/>
  <c r="C20" i="5"/>
  <c r="F20" i="5"/>
  <c r="H31" i="5" l="1"/>
  <c r="E31" i="5"/>
  <c r="H32" i="5"/>
  <c r="D31" i="5"/>
  <c r="D39" i="5" s="1"/>
  <c r="M30" i="5" l="1"/>
  <c r="M32" i="5" s="1"/>
  <c r="K30" i="5"/>
  <c r="K32" i="5" s="1"/>
  <c r="J28" i="4"/>
  <c r="J29" i="4"/>
  <c r="J31" i="4" s="1"/>
  <c r="I29" i="4"/>
  <c r="I31" i="4" s="1"/>
  <c r="H29" i="4"/>
  <c r="H31" i="4" s="1"/>
  <c r="H33" i="4" s="1"/>
  <c r="P30" i="5" l="1"/>
  <c r="P32" i="5" s="1"/>
  <c r="O30" i="5"/>
  <c r="O32" i="5" s="1"/>
  <c r="N30" i="5"/>
  <c r="N32" i="5" s="1"/>
  <c r="L30" i="5"/>
  <c r="L32" i="5" s="1"/>
  <c r="C39" i="5" l="1"/>
  <c r="E39" i="4" l="1"/>
  <c r="D39" i="4"/>
  <c r="C39" i="4"/>
  <c r="I24" i="5" l="1"/>
  <c r="J49" i="1" l="1"/>
  <c r="J39" i="1"/>
  <c r="J10" i="1"/>
  <c r="J10" i="5"/>
  <c r="J49" i="5"/>
  <c r="J39" i="5"/>
  <c r="G49" i="4"/>
  <c r="G39" i="4"/>
  <c r="G7" i="4"/>
  <c r="G10" i="4" l="1"/>
  <c r="G40" i="4" s="1"/>
  <c r="G54" i="4" s="1"/>
  <c r="G57" i="4" s="1"/>
  <c r="J40" i="1"/>
  <c r="J54" i="1" s="1"/>
  <c r="J57" i="1" s="1"/>
  <c r="J40" i="5"/>
  <c r="J54" i="5" s="1"/>
  <c r="J57" i="5" s="1"/>
  <c r="I56" i="5" l="1"/>
  <c r="F38" i="4" l="1"/>
  <c r="F31" i="4"/>
  <c r="F22" i="4"/>
  <c r="F16" i="4"/>
  <c r="F7" i="4"/>
  <c r="H10" i="5"/>
  <c r="H39" i="5"/>
  <c r="I38" i="5"/>
  <c r="G10" i="5"/>
  <c r="E10" i="5"/>
  <c r="H40" i="5" l="1"/>
  <c r="D10" i="5" l="1"/>
  <c r="F12" i="4" l="1"/>
  <c r="I12" i="5" l="1"/>
  <c r="I12" i="1" l="1"/>
  <c r="I48" i="1"/>
  <c r="I47" i="1"/>
  <c r="I46" i="1"/>
  <c r="I45" i="1"/>
  <c r="I44" i="1"/>
  <c r="I43" i="1"/>
  <c r="I42" i="1"/>
  <c r="I38" i="1"/>
  <c r="I37" i="1"/>
  <c r="I36" i="1"/>
  <c r="I35" i="1"/>
  <c r="I34" i="1"/>
  <c r="I33" i="1"/>
  <c r="I31" i="1"/>
  <c r="I30" i="1"/>
  <c r="I27" i="1"/>
  <c r="I26" i="1"/>
  <c r="I25" i="1"/>
  <c r="I24" i="1"/>
  <c r="I23" i="1"/>
  <c r="I22" i="1"/>
  <c r="I20" i="1"/>
  <c r="I19" i="1"/>
  <c r="I18" i="1"/>
  <c r="I17" i="1"/>
  <c r="I16" i="1"/>
  <c r="I15" i="1"/>
  <c r="I14" i="1"/>
  <c r="I25" i="5" l="1"/>
  <c r="I28" i="1" l="1"/>
  <c r="I16" i="5" l="1"/>
  <c r="I22" i="5"/>
  <c r="F28" i="4"/>
  <c r="E39" i="5"/>
  <c r="I31" i="5"/>
  <c r="H49" i="1"/>
  <c r="G49" i="1"/>
  <c r="F49" i="1"/>
  <c r="E49" i="1"/>
  <c r="D49" i="1"/>
  <c r="C49" i="1"/>
  <c r="H49" i="5"/>
  <c r="G49" i="5"/>
  <c r="F49" i="5"/>
  <c r="E49" i="5"/>
  <c r="D49" i="5"/>
  <c r="I7" i="1"/>
  <c r="I32" i="1" l="1"/>
  <c r="I32" i="5"/>
  <c r="F32" i="4"/>
  <c r="I49" i="1"/>
  <c r="I46" i="5"/>
  <c r="E49" i="4"/>
  <c r="D49" i="4"/>
  <c r="F47" i="4"/>
  <c r="F39" i="5"/>
  <c r="F21" i="4"/>
  <c r="G39" i="1"/>
  <c r="F39" i="1"/>
  <c r="C39" i="1"/>
  <c r="I21" i="1" l="1"/>
  <c r="I21" i="5"/>
  <c r="I45" i="5"/>
  <c r="I49" i="5" s="1"/>
  <c r="C49" i="5"/>
  <c r="F45" i="4"/>
  <c r="C49" i="4"/>
  <c r="F46" i="4"/>
  <c r="I20" i="5"/>
  <c r="F49" i="4" l="1"/>
  <c r="C10" i="5"/>
  <c r="I13" i="1"/>
  <c r="I39" i="1" s="1"/>
  <c r="I37" i="5"/>
  <c r="I36" i="5"/>
  <c r="I35" i="5"/>
  <c r="I34" i="5"/>
  <c r="I33" i="5"/>
  <c r="I30" i="5"/>
  <c r="I28" i="5"/>
  <c r="I27" i="5"/>
  <c r="I26" i="5"/>
  <c r="I19" i="5"/>
  <c r="I18" i="5"/>
  <c r="I17" i="5"/>
  <c r="I14" i="5"/>
  <c r="F37" i="4"/>
  <c r="F36" i="4"/>
  <c r="F34" i="4"/>
  <c r="F33" i="4"/>
  <c r="F30" i="4"/>
  <c r="F27" i="4"/>
  <c r="F26" i="4"/>
  <c r="F24" i="4"/>
  <c r="F14" i="4"/>
  <c r="F19" i="4"/>
  <c r="F18" i="4"/>
  <c r="F17" i="4"/>
  <c r="I41" i="5"/>
  <c r="F20" i="4" l="1"/>
  <c r="G39" i="5"/>
  <c r="F15" i="4"/>
  <c r="H39" i="1"/>
  <c r="E39" i="1"/>
  <c r="D39" i="1"/>
  <c r="H10" i="1"/>
  <c r="G10" i="1"/>
  <c r="G40" i="1" s="1"/>
  <c r="G54" i="1" s="1"/>
  <c r="G57" i="1" s="1"/>
  <c r="F10" i="1"/>
  <c r="F40" i="1" s="1"/>
  <c r="F54" i="1" s="1"/>
  <c r="F57" i="1" s="1"/>
  <c r="E10" i="1"/>
  <c r="D10" i="1"/>
  <c r="C10" i="1"/>
  <c r="C40" i="1" s="1"/>
  <c r="C54" i="1" s="1"/>
  <c r="C57" i="1" s="1"/>
  <c r="I10" i="1"/>
  <c r="I40" i="1" s="1"/>
  <c r="I54" i="1" s="1"/>
  <c r="I57" i="1" s="1"/>
  <c r="F9" i="4"/>
  <c r="F8" i="4"/>
  <c r="E10" i="4"/>
  <c r="D10" i="4"/>
  <c r="C10" i="4"/>
  <c r="I9" i="5"/>
  <c r="I8" i="5"/>
  <c r="F10" i="5"/>
  <c r="F39" i="4" l="1"/>
  <c r="I15" i="5"/>
  <c r="I39" i="5"/>
  <c r="H54" i="5"/>
  <c r="H57" i="5" s="1"/>
  <c r="H40" i="1"/>
  <c r="H54" i="1" s="1"/>
  <c r="H57" i="1" s="1"/>
  <c r="G40" i="5"/>
  <c r="F40" i="5"/>
  <c r="F54" i="5" s="1"/>
  <c r="F57" i="5" s="1"/>
  <c r="D40" i="4"/>
  <c r="D54" i="4" s="1"/>
  <c r="D57" i="4" s="1"/>
  <c r="E40" i="1"/>
  <c r="E54" i="1" s="1"/>
  <c r="E57" i="1" s="1"/>
  <c r="E40" i="5"/>
  <c r="E54" i="5" s="1"/>
  <c r="E57" i="5" s="1"/>
  <c r="D40" i="5"/>
  <c r="D54" i="5" s="1"/>
  <c r="D57" i="5" s="1"/>
  <c r="E40" i="4"/>
  <c r="E54" i="4" s="1"/>
  <c r="E57" i="4" s="1"/>
  <c r="C40" i="4"/>
  <c r="C54" i="4" s="1"/>
  <c r="C57" i="4" s="1"/>
  <c r="D40" i="1"/>
  <c r="D54" i="1" s="1"/>
  <c r="D57" i="1" s="1"/>
  <c r="I7" i="5"/>
  <c r="F10" i="4"/>
  <c r="G54" i="5" l="1"/>
  <c r="G57" i="5" s="1"/>
  <c r="C40" i="5"/>
  <c r="C54" i="5" s="1"/>
  <c r="C57" i="5" s="1"/>
  <c r="I10" i="5"/>
  <c r="I40" i="5" s="1"/>
  <c r="I54" i="5" s="1"/>
  <c r="I57" i="5" s="1"/>
  <c r="F40" i="4"/>
  <c r="F54" i="4" s="1"/>
  <c r="F57" i="4" s="1"/>
</calcChain>
</file>

<file path=xl/sharedStrings.xml><?xml version="1.0" encoding="utf-8"?>
<sst xmlns="http://schemas.openxmlformats.org/spreadsheetml/2006/main" count="183" uniqueCount="76">
  <si>
    <t>TOTALE</t>
  </si>
  <si>
    <t>A) Valore della produzione</t>
  </si>
  <si>
    <t>1) Ricavi delle vendite e delle prestazioni</t>
  </si>
  <si>
    <t>5) Altri ricavi e proventi:</t>
  </si>
  <si>
    <t>- vari</t>
  </si>
  <si>
    <t>Totale valore della produzione</t>
  </si>
  <si>
    <t>B) Costi della produzione</t>
  </si>
  <si>
    <t>6) Per materie prime, sussidiarie, di consumo e di merci</t>
  </si>
  <si>
    <t>7) Per servizi</t>
  </si>
  <si>
    <t xml:space="preserve">a) Lavori affidati a terzi </t>
  </si>
  <si>
    <t>c) Consulenze e incarichi affidati a professionisti</t>
  </si>
  <si>
    <t xml:space="preserve">d) Attività promozionali </t>
  </si>
  <si>
    <t xml:space="preserve">e) Formazione </t>
  </si>
  <si>
    <t>f) Spese per trasferte</t>
  </si>
  <si>
    <t xml:space="preserve">h) Altri </t>
  </si>
  <si>
    <t>8) Per godimento di beni di terzi</t>
  </si>
  <si>
    <t>9) Per il personale</t>
  </si>
  <si>
    <t>a) Salari e stipendi</t>
  </si>
  <si>
    <t>b) Oneri sociali</t>
  </si>
  <si>
    <t>c) Trattamento di fine rapporto</t>
  </si>
  <si>
    <t>d) Trattamento di quiescenza e simili</t>
  </si>
  <si>
    <t>e) Altri costi</t>
  </si>
  <si>
    <t>10) Ammortamenti e svalutazioni</t>
  </si>
  <si>
    <t>a) Ammortamento delle immobilizzazioni immateriali</t>
  </si>
  <si>
    <t>b) Ammortamento delle immobilizzazioni materiali</t>
  </si>
  <si>
    <t>c) Altre svalutazioni delle immobilizzazioni</t>
  </si>
  <si>
    <t>d) Svalutazioni dei crediti compresi nell'attivo circolante e delle disponibilità liquide</t>
  </si>
  <si>
    <t>11) Variazioni delle rimanenze di materie prime,  sussidiarie, di consumo e merci</t>
  </si>
  <si>
    <t>12) Accantonamento per rischi</t>
  </si>
  <si>
    <t>13) Altri accantonamenti</t>
  </si>
  <si>
    <t>14) Oneri diversi di gestione</t>
  </si>
  <si>
    <t>Totale costi della produzione</t>
  </si>
  <si>
    <t>Differenza tra valore e costi di produzione (A-B)</t>
  </si>
  <si>
    <t>C) Proventi e oneri finanziari</t>
  </si>
  <si>
    <t>15) Proventi da partecipazioni:</t>
  </si>
  <si>
    <t>-altri</t>
  </si>
  <si>
    <t>16) Altri proventi finanziari:</t>
  </si>
  <si>
    <t>17) Interessi e altri oneri finanziari:</t>
  </si>
  <si>
    <t>-di conto corrente</t>
  </si>
  <si>
    <t>-su mutui</t>
  </si>
  <si>
    <t>17-bis) Utili e Perdite su cambi</t>
  </si>
  <si>
    <t>Totale proventi e oneri finanziari</t>
  </si>
  <si>
    <t>D) Rettifiche di valore di attività finanziarie</t>
  </si>
  <si>
    <t>18) Rivalutazioni:</t>
  </si>
  <si>
    <t>19) Svalutazioni:</t>
  </si>
  <si>
    <t>Totale rettifiche di valore di attività finanziarie</t>
  </si>
  <si>
    <t>Risultato prima delle imposte (A-B±C±D±E)</t>
  </si>
  <si>
    <t>22) Imposte sul reddito dell'esercizio, correnti, differite e anticipate</t>
  </si>
  <si>
    <t>a) Imposte correnti</t>
  </si>
  <si>
    <t>23) Utile (Perdita) dell'esercizio</t>
  </si>
  <si>
    <t>SALERNO PULITA SPA</t>
  </si>
  <si>
    <t xml:space="preserve">b) Manutenzione e riparazione macchine, impianti, automezzi etc. </t>
  </si>
  <si>
    <t>11) Variazioni delle rimanenze di materie prime, sussidiarie,di consumo e merci</t>
  </si>
  <si>
    <t>Vs Budget 2019</t>
  </si>
  <si>
    <t>Centro 1007 Racc. Diff.</t>
  </si>
  <si>
    <t>Centro 1008 Imp. Compostaggio</t>
  </si>
  <si>
    <t>Centro 1009 Ostaglio</t>
  </si>
  <si>
    <t>Centro 1010 -1011 Pulizia e Raccolta vetro</t>
  </si>
  <si>
    <t>Centro 1012 Ingombranti</t>
  </si>
  <si>
    <t>Centro 1013-1014 Isole Ecologiche</t>
  </si>
  <si>
    <t>centro 1001-1002-1003-1004 (Spazzamento)</t>
  </si>
  <si>
    <t>Centro 1005 Centro Agroal.</t>
  </si>
  <si>
    <t>Centro 1006 (Cimitero)</t>
  </si>
  <si>
    <t>Centro 2001 - 2009 Pulizie Comunali e Traslochi</t>
  </si>
  <si>
    <t>Centro 2003 Pulizia Bagni</t>
  </si>
  <si>
    <t>Centro 2004 Stadio Arechi</t>
  </si>
  <si>
    <t>Centro 2005 Asili nido</t>
  </si>
  <si>
    <t>Centro 2007 Teatri Comunale</t>
  </si>
  <si>
    <t>Centro 2008 Stadio Vestuti e palestre</t>
  </si>
  <si>
    <t>g) Spese per automezzi (assicurazione)</t>
  </si>
  <si>
    <t>g) Spese per automezzi (assicurazione )</t>
  </si>
  <si>
    <t>g) Spese per automezzi (assicurazioni )</t>
  </si>
  <si>
    <t>ANNO 2020</t>
  </si>
  <si>
    <t>Conto Economico suddiviso per centri di costo analitici: spazzamento</t>
  </si>
  <si>
    <t>Conto Economico suddiviso per centri di costo analitici: raccolta differenziata e impianti</t>
  </si>
  <si>
    <t>Conto Economico suddiviso per centri di costo analitici: pulizia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</si>
</sst>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-* #,##0.00_-;\-* #,##0.00_-;_-* &quot;-&quot;??_-;_-@_-"/>
    <numFmt numFmtId="165" formatCode="#,##0;\(#,##0\)"/>
    <numFmt numFmtId="166" formatCode="_-* #,##0_-;\-* #,##0_-;_-* &quot;-&quot;??_-;_-@_-"/>
    <numFmt numFmtId="167" formatCode="_-* #,##0_-;\-* #,##0_-;_-* \-_-;_-@_-"/>
  </numFmts>
  <fonts count="23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DaxWide"/>
      <family val="3"/>
      <charset val="1"/>
    </font>
    <font>
      <b/>
      <sz val="10"/>
      <color rgb="FF000000"/>
      <name val="DaxWide"/>
      <family val="3"/>
      <charset val="1"/>
    </font>
    <font>
      <b/>
      <sz val="10"/>
      <color rgb="FF000080"/>
      <name val="DaxWide"/>
      <family val="3"/>
      <charset val="1"/>
    </font>
    <font>
      <b/>
      <sz val="9"/>
      <color rgb="FF000080"/>
      <name val="DaxWide"/>
      <family val="3"/>
      <charset val="1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DaxWide"/>
    </font>
    <font>
      <b/>
      <i/>
      <sz val="10"/>
      <color rgb="FF000000"/>
      <name val="DaxWide"/>
      <family val="3"/>
      <charset val="1"/>
    </font>
    <font>
      <b/>
      <sz val="10"/>
      <name val="DaxWide"/>
      <family val="3"/>
      <charset val="1"/>
    </font>
    <font>
      <sz val="10"/>
      <name val="Arial"/>
      <family val="2"/>
    </font>
    <font>
      <sz val="10"/>
      <name val="Arial"/>
      <family val="2"/>
    </font>
    <font>
      <b/>
      <sz val="9"/>
      <color rgb="FF000000"/>
      <name val="DaxWide"/>
      <family val="3"/>
      <charset val="1"/>
    </font>
    <font>
      <b/>
      <sz val="11"/>
      <color theme="1"/>
      <name val="Calibri"/>
      <family val="2"/>
      <scheme val="minor"/>
    </font>
    <font>
      <b/>
      <i/>
      <sz val="9"/>
      <color rgb="FF000000"/>
      <name val="DaxWide"/>
      <family val="3"/>
      <charset val="1"/>
    </font>
    <font>
      <b/>
      <sz val="9"/>
      <color theme="1"/>
      <name val="Calibri"/>
      <family val="2"/>
      <scheme val="minor"/>
    </font>
    <font>
      <b/>
      <i/>
      <sz val="8"/>
      <color rgb="FF000000"/>
      <name val="DaxWide"/>
      <family val="3"/>
      <charset val="1"/>
    </font>
    <font>
      <b/>
      <sz val="8"/>
      <color rgb="FF000000"/>
      <name val="DaxWide"/>
      <family val="3"/>
      <charset val="1"/>
    </font>
    <font>
      <b/>
      <sz val="8"/>
      <color theme="1"/>
      <name val="Calibri"/>
      <family val="2"/>
      <scheme val="minor"/>
    </font>
    <font>
      <b/>
      <sz val="9"/>
      <name val="DaxWide"/>
      <family val="3"/>
      <charset val="1"/>
    </font>
    <font>
      <b/>
      <sz val="11"/>
      <name val="Calibri"/>
      <family val="2"/>
      <scheme val="minor"/>
    </font>
    <font>
      <sz val="10"/>
      <name val="Mang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BF1DE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Border="0" applyProtection="0"/>
    <xf numFmtId="164" fontId="7" fillId="0" borderId="0" applyFont="0" applyFill="0" applyBorder="0" applyAlignment="0" applyProtection="0"/>
    <xf numFmtId="0" fontId="11" fillId="0" borderId="0" applyFill="0" applyBorder="0" applyProtection="0"/>
    <xf numFmtId="0" fontId="12" fillId="0" borderId="0" applyFill="0" applyBorder="0" applyProtection="0"/>
    <xf numFmtId="167" fontId="22" fillId="0" borderId="0" applyFill="0" applyBorder="0" applyAlignment="0" applyProtection="0"/>
  </cellStyleXfs>
  <cellXfs count="183">
    <xf numFmtId="0" fontId="0" fillId="0" borderId="0" xfId="0"/>
    <xf numFmtId="165" fontId="3" fillId="3" borderId="8" xfId="1" applyNumberFormat="1" applyFont="1" applyFill="1" applyBorder="1"/>
    <xf numFmtId="165" fontId="3" fillId="3" borderId="2" xfId="1" applyNumberFormat="1" applyFont="1" applyFill="1" applyBorder="1"/>
    <xf numFmtId="165" fontId="3" fillId="3" borderId="4" xfId="1" applyNumberFormat="1" applyFont="1" applyFill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164" fontId="0" fillId="0" borderId="0" xfId="3" applyFont="1"/>
    <xf numFmtId="165" fontId="8" fillId="3" borderId="4" xfId="1" applyNumberFormat="1" applyFont="1" applyFill="1" applyBorder="1"/>
    <xf numFmtId="165" fontId="8" fillId="3" borderId="8" xfId="1" applyNumberFormat="1" applyFont="1" applyFill="1" applyBorder="1"/>
    <xf numFmtId="165" fontId="8" fillId="0" borderId="8" xfId="1" applyNumberFormat="1" applyFont="1" applyBorder="1"/>
    <xf numFmtId="165" fontId="8" fillId="0" borderId="4" xfId="1" applyNumberFormat="1" applyFont="1" applyBorder="1"/>
    <xf numFmtId="165" fontId="8" fillId="3" borderId="2" xfId="1" applyNumberFormat="1" applyFont="1" applyFill="1" applyBorder="1"/>
    <xf numFmtId="164" fontId="0" fillId="0" borderId="0" xfId="3" applyFont="1" applyFill="1"/>
    <xf numFmtId="165" fontId="3" fillId="3" borderId="6" xfId="1" applyNumberFormat="1" applyFont="1" applyFill="1" applyBorder="1" applyAlignment="1">
      <alignment horizontal="right"/>
    </xf>
    <xf numFmtId="165" fontId="8" fillId="3" borderId="6" xfId="1" applyNumberFormat="1" applyFont="1" applyFill="1" applyBorder="1" applyAlignment="1">
      <alignment horizontal="right" vertical="center"/>
    </xf>
    <xf numFmtId="0" fontId="14" fillId="0" borderId="0" xfId="0" applyFont="1"/>
    <xf numFmtId="165" fontId="14" fillId="0" borderId="0" xfId="0" applyNumberFormat="1" applyFont="1"/>
    <xf numFmtId="0" fontId="2" fillId="2" borderId="7" xfId="1" applyFont="1" applyFill="1" applyBorder="1" applyAlignment="1">
      <alignment horizontal="right" vertical="center" wrapText="1"/>
    </xf>
    <xf numFmtId="165" fontId="3" fillId="2" borderId="3" xfId="1" applyNumberFormat="1" applyFont="1" applyFill="1" applyBorder="1"/>
    <xf numFmtId="165" fontId="3" fillId="2" borderId="4" xfId="1" applyNumberFormat="1" applyFont="1" applyFill="1" applyBorder="1"/>
    <xf numFmtId="165" fontId="3" fillId="2" borderId="8" xfId="1" applyNumberFormat="1" applyFont="1" applyFill="1" applyBorder="1"/>
    <xf numFmtId="0" fontId="13" fillId="2" borderId="10" xfId="1" applyFont="1" applyFill="1" applyBorder="1" applyAlignment="1">
      <alignment wrapText="1"/>
    </xf>
    <xf numFmtId="0" fontId="13" fillId="0" borderId="10" xfId="1" applyFont="1" applyBorder="1" applyAlignment="1">
      <alignment wrapText="1"/>
    </xf>
    <xf numFmtId="0" fontId="15" fillId="0" borderId="0" xfId="1" applyFont="1" applyAlignment="1">
      <alignment wrapText="1"/>
    </xf>
    <xf numFmtId="165" fontId="15" fillId="0" borderId="9" xfId="1" applyNumberFormat="1" applyFont="1" applyBorder="1"/>
    <xf numFmtId="164" fontId="14" fillId="0" borderId="0" xfId="3" applyFont="1"/>
    <xf numFmtId="164" fontId="14" fillId="0" borderId="0" xfId="0" applyNumberFormat="1" applyFont="1"/>
    <xf numFmtId="0" fontId="15" fillId="2" borderId="10" xfId="1" applyFont="1" applyFill="1" applyBorder="1" applyAlignment="1">
      <alignment wrapText="1"/>
    </xf>
    <xf numFmtId="165" fontId="15" fillId="2" borderId="9" xfId="1" applyNumberFormat="1" applyFont="1" applyFill="1" applyBorder="1"/>
    <xf numFmtId="0" fontId="15" fillId="3" borderId="11" xfId="1" applyFont="1" applyFill="1" applyBorder="1" applyAlignment="1">
      <alignment horizontal="justify" wrapText="1"/>
    </xf>
    <xf numFmtId="0" fontId="15" fillId="2" borderId="11" xfId="1" applyFont="1" applyFill="1" applyBorder="1" applyAlignment="1">
      <alignment horizontal="justify" wrapText="1"/>
    </xf>
    <xf numFmtId="0" fontId="13" fillId="2" borderId="11" xfId="1" applyFont="1" applyFill="1" applyBorder="1" applyAlignment="1">
      <alignment horizontal="justify" wrapText="1"/>
    </xf>
    <xf numFmtId="0" fontId="2" fillId="2" borderId="5" xfId="1" applyFont="1" applyFill="1" applyBorder="1" applyAlignment="1">
      <alignment wrapText="1"/>
    </xf>
    <xf numFmtId="165" fontId="3" fillId="2" borderId="2" xfId="1" applyNumberFormat="1" applyFont="1" applyFill="1" applyBorder="1"/>
    <xf numFmtId="165" fontId="3" fillId="2" borderId="9" xfId="1" applyNumberFormat="1" applyFont="1" applyFill="1" applyBorder="1"/>
    <xf numFmtId="165" fontId="3" fillId="3" borderId="11" xfId="1" applyNumberFormat="1" applyFont="1" applyFill="1" applyBorder="1"/>
    <xf numFmtId="0" fontId="3" fillId="2" borderId="10" xfId="1" applyFont="1" applyFill="1" applyBorder="1" applyAlignment="1">
      <alignment wrapText="1"/>
    </xf>
    <xf numFmtId="0" fontId="3" fillId="2" borderId="11" xfId="1" applyFont="1" applyFill="1" applyBorder="1" applyAlignment="1">
      <alignment horizontal="justify" wrapText="1"/>
    </xf>
    <xf numFmtId="165" fontId="3" fillId="2" borderId="6" xfId="1" applyNumberFormat="1" applyFont="1" applyFill="1" applyBorder="1"/>
    <xf numFmtId="165" fontId="3" fillId="2" borderId="1" xfId="1" applyNumberFormat="1" applyFont="1" applyFill="1" applyBorder="1"/>
    <xf numFmtId="0" fontId="3" fillId="0" borderId="10" xfId="1" applyFont="1" applyBorder="1" applyAlignment="1">
      <alignment wrapText="1"/>
    </xf>
    <xf numFmtId="165" fontId="3" fillId="0" borderId="9" xfId="1" applyNumberFormat="1" applyFont="1" applyBorder="1"/>
    <xf numFmtId="0" fontId="15" fillId="0" borderId="0" xfId="1" applyFont="1" applyAlignment="1">
      <alignment horizontal="left" wrapText="1"/>
    </xf>
    <xf numFmtId="164" fontId="14" fillId="0" borderId="0" xfId="3" applyFont="1" applyFill="1"/>
    <xf numFmtId="0" fontId="15" fillId="0" borderId="10" xfId="1" applyFont="1" applyBorder="1" applyAlignment="1">
      <alignment wrapText="1"/>
    </xf>
    <xf numFmtId="0" fontId="15" fillId="0" borderId="0" xfId="1" applyFont="1" applyAlignment="1">
      <alignment horizontal="left" vertical="center" wrapText="1"/>
    </xf>
    <xf numFmtId="165" fontId="3" fillId="0" borderId="3" xfId="1" applyNumberFormat="1" applyFont="1" applyBorder="1"/>
    <xf numFmtId="165" fontId="3" fillId="0" borderId="8" xfId="1" applyNumberFormat="1" applyFont="1" applyBorder="1"/>
    <xf numFmtId="165" fontId="3" fillId="0" borderId="2" xfId="1" applyNumberFormat="1" applyFont="1" applyBorder="1"/>
    <xf numFmtId="165" fontId="3" fillId="0" borderId="1" xfId="1" applyNumberFormat="1" applyFont="1" applyBorder="1"/>
    <xf numFmtId="165" fontId="3" fillId="0" borderId="0" xfId="1" applyNumberFormat="1" applyFont="1"/>
    <xf numFmtId="0" fontId="15" fillId="0" borderId="11" xfId="1" applyFont="1" applyBorder="1" applyAlignment="1">
      <alignment horizontal="justify" wrapText="1"/>
    </xf>
    <xf numFmtId="165" fontId="3" fillId="0" borderId="5" xfId="1" applyNumberFormat="1" applyFont="1" applyBorder="1"/>
    <xf numFmtId="165" fontId="3" fillId="0" borderId="12" xfId="1" applyNumberFormat="1" applyFont="1" applyBorder="1"/>
    <xf numFmtId="165" fontId="3" fillId="0" borderId="7" xfId="1" applyNumberFormat="1" applyFont="1" applyBorder="1"/>
    <xf numFmtId="164" fontId="0" fillId="0" borderId="4" xfId="3" applyFont="1" applyBorder="1"/>
    <xf numFmtId="164" fontId="0" fillId="0" borderId="3" xfId="3" applyFont="1" applyBorder="1"/>
    <xf numFmtId="164" fontId="0" fillId="0" borderId="1" xfId="3" applyFont="1" applyBorder="1"/>
    <xf numFmtId="164" fontId="0" fillId="0" borderId="9" xfId="3" applyFont="1" applyBorder="1"/>
    <xf numFmtId="164" fontId="0" fillId="0" borderId="9" xfId="3" applyFont="1" applyFill="1" applyBorder="1"/>
    <xf numFmtId="164" fontId="7" fillId="0" borderId="9" xfId="3" applyFont="1" applyFill="1" applyBorder="1"/>
    <xf numFmtId="164" fontId="7" fillId="0" borderId="9" xfId="3" applyFont="1" applyFill="1" applyBorder="1" applyAlignment="1"/>
    <xf numFmtId="164" fontId="0" fillId="0" borderId="9" xfId="3" applyFont="1" applyFill="1" applyBorder="1" applyAlignment="1"/>
    <xf numFmtId="164" fontId="7" fillId="0" borderId="3" xfId="3" applyFont="1" applyFill="1" applyBorder="1" applyAlignment="1"/>
    <xf numFmtId="164" fontId="0" fillId="0" borderId="1" xfId="3" applyFont="1" applyFill="1" applyBorder="1"/>
    <xf numFmtId="164" fontId="0" fillId="0" borderId="3" xfId="3" applyFont="1" applyFill="1" applyBorder="1"/>
    <xf numFmtId="164" fontId="0" fillId="0" borderId="4" xfId="3" applyFont="1" applyFill="1" applyBorder="1"/>
    <xf numFmtId="165" fontId="3" fillId="3" borderId="1" xfId="1" applyNumberFormat="1" applyFont="1" applyFill="1" applyBorder="1"/>
    <xf numFmtId="165" fontId="3" fillId="3" borderId="3" xfId="1" applyNumberFormat="1" applyFont="1" applyFill="1" applyBorder="1"/>
    <xf numFmtId="0" fontId="2" fillId="2" borderId="5" xfId="1" applyFont="1" applyFill="1" applyBorder="1" applyAlignment="1">
      <alignment horizontal="right" vertical="center" wrapText="1"/>
    </xf>
    <xf numFmtId="165" fontId="3" fillId="2" borderId="5" xfId="1" applyNumberFormat="1" applyFont="1" applyFill="1" applyBorder="1" applyAlignment="1">
      <alignment horizontal="right"/>
    </xf>
    <xf numFmtId="165" fontId="3" fillId="3" borderId="9" xfId="1" applyNumberFormat="1" applyFont="1" applyFill="1" applyBorder="1"/>
    <xf numFmtId="164" fontId="14" fillId="0" borderId="1" xfId="3" applyFont="1" applyBorder="1"/>
    <xf numFmtId="165" fontId="3" fillId="2" borderId="10" xfId="1" applyNumberFormat="1" applyFont="1" applyFill="1" applyBorder="1" applyAlignment="1">
      <alignment horizontal="right"/>
    </xf>
    <xf numFmtId="164" fontId="14" fillId="0" borderId="3" xfId="3" applyFont="1" applyBorder="1"/>
    <xf numFmtId="165" fontId="3" fillId="2" borderId="8" xfId="1" applyNumberFormat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3" fillId="3" borderId="7" xfId="1" applyNumberFormat="1" applyFont="1" applyFill="1" applyBorder="1"/>
    <xf numFmtId="165" fontId="3" fillId="2" borderId="10" xfId="1" applyNumberFormat="1" applyFont="1" applyFill="1" applyBorder="1"/>
    <xf numFmtId="165" fontId="3" fillId="2" borderId="9" xfId="1" applyNumberFormat="1" applyFont="1" applyFill="1" applyBorder="1" applyAlignment="1">
      <alignment horizontal="right"/>
    </xf>
    <xf numFmtId="164" fontId="14" fillId="0" borderId="9" xfId="3" applyFont="1" applyBorder="1"/>
    <xf numFmtId="0" fontId="15" fillId="0" borderId="11" xfId="1" applyFont="1" applyBorder="1" applyAlignment="1">
      <alignment wrapText="1"/>
    </xf>
    <xf numFmtId="165" fontId="15" fillId="0" borderId="10" xfId="1" applyNumberFormat="1" applyFont="1" applyBorder="1"/>
    <xf numFmtId="164" fontId="14" fillId="0" borderId="9" xfId="3" applyFont="1" applyFill="1" applyBorder="1"/>
    <xf numFmtId="165" fontId="15" fillId="0" borderId="9" xfId="1" applyNumberFormat="1" applyFont="1" applyBorder="1" applyAlignment="1">
      <alignment horizontal="right"/>
    </xf>
    <xf numFmtId="0" fontId="15" fillId="2" borderId="11" xfId="1" applyFont="1" applyFill="1" applyBorder="1" applyAlignment="1">
      <alignment horizontal="left" wrapText="1"/>
    </xf>
    <xf numFmtId="164" fontId="14" fillId="0" borderId="9" xfId="3" applyFont="1" applyFill="1" applyBorder="1" applyAlignment="1"/>
    <xf numFmtId="165" fontId="15" fillId="2" borderId="10" xfId="1" applyNumberFormat="1" applyFont="1" applyFill="1" applyBorder="1"/>
    <xf numFmtId="165" fontId="15" fillId="2" borderId="9" xfId="1" applyNumberFormat="1" applyFont="1" applyFill="1" applyBorder="1" applyAlignment="1">
      <alignment horizontal="right"/>
    </xf>
    <xf numFmtId="0" fontId="15" fillId="2" borderId="11" xfId="1" applyFont="1" applyFill="1" applyBorder="1" applyAlignment="1">
      <alignment horizontal="left" vertical="center" wrapText="1"/>
    </xf>
    <xf numFmtId="165" fontId="3" fillId="2" borderId="3" xfId="1" applyNumberFormat="1" applyFont="1" applyFill="1" applyBorder="1" applyAlignment="1">
      <alignment horizontal="right"/>
    </xf>
    <xf numFmtId="164" fontId="14" fillId="0" borderId="3" xfId="3" applyFont="1" applyFill="1" applyBorder="1" applyAlignment="1"/>
    <xf numFmtId="165" fontId="3" fillId="3" borderId="6" xfId="1" applyNumberFormat="1" applyFont="1" applyFill="1" applyBorder="1"/>
    <xf numFmtId="165" fontId="3" fillId="2" borderId="0" xfId="1" applyNumberFormat="1" applyFont="1" applyFill="1"/>
    <xf numFmtId="164" fontId="14" fillId="0" borderId="1" xfId="3" applyFont="1" applyFill="1" applyBorder="1"/>
    <xf numFmtId="165" fontId="3" fillId="3" borderId="0" xfId="1" applyNumberFormat="1" applyFont="1" applyFill="1"/>
    <xf numFmtId="165" fontId="3" fillId="3" borderId="9" xfId="1" applyNumberFormat="1" applyFont="1" applyFill="1" applyBorder="1" applyAlignment="1">
      <alignment horizontal="right"/>
    </xf>
    <xf numFmtId="164" fontId="14" fillId="0" borderId="3" xfId="3" applyFont="1" applyFill="1" applyBorder="1"/>
    <xf numFmtId="164" fontId="14" fillId="0" borderId="4" xfId="3" applyFont="1" applyFill="1" applyBorder="1"/>
    <xf numFmtId="165" fontId="3" fillId="2" borderId="12" xfId="1" applyNumberFormat="1" applyFont="1" applyFill="1" applyBorder="1"/>
    <xf numFmtId="0" fontId="16" fillId="0" borderId="0" xfId="0" applyFont="1"/>
    <xf numFmtId="165" fontId="3" fillId="2" borderId="11" xfId="1" applyNumberFormat="1" applyFont="1" applyFill="1" applyBorder="1"/>
    <xf numFmtId="165" fontId="15" fillId="0" borderId="11" xfId="1" applyNumberFormat="1" applyFont="1" applyBorder="1"/>
    <xf numFmtId="165" fontId="15" fillId="0" borderId="0" xfId="1" applyNumberFormat="1" applyFont="1"/>
    <xf numFmtId="165" fontId="15" fillId="2" borderId="11" xfId="1" applyNumberFormat="1" applyFont="1" applyFill="1" applyBorder="1"/>
    <xf numFmtId="165" fontId="15" fillId="2" borderId="0" xfId="1" applyNumberFormat="1" applyFont="1" applyFill="1"/>
    <xf numFmtId="0" fontId="17" fillId="2" borderId="10" xfId="1" applyFont="1" applyFill="1" applyBorder="1" applyAlignment="1">
      <alignment wrapText="1"/>
    </xf>
    <xf numFmtId="0" fontId="17" fillId="2" borderId="11" xfId="1" applyFont="1" applyFill="1" applyBorder="1" applyAlignment="1">
      <alignment horizontal="left" vertical="center" wrapText="1"/>
    </xf>
    <xf numFmtId="165" fontId="17" fillId="2" borderId="9" xfId="1" applyNumberFormat="1" applyFont="1" applyFill="1" applyBorder="1"/>
    <xf numFmtId="165" fontId="17" fillId="2" borderId="11" xfId="1" applyNumberFormat="1" applyFont="1" applyFill="1" applyBorder="1"/>
    <xf numFmtId="165" fontId="17" fillId="2" borderId="0" xfId="1" applyNumberFormat="1" applyFont="1" applyFill="1"/>
    <xf numFmtId="165" fontId="18" fillId="3" borderId="11" xfId="1" applyNumberFormat="1" applyFont="1" applyFill="1" applyBorder="1"/>
    <xf numFmtId="0" fontId="19" fillId="0" borderId="0" xfId="0" applyFont="1"/>
    <xf numFmtId="165" fontId="18" fillId="2" borderId="9" xfId="1" applyNumberFormat="1" applyFont="1" applyFill="1" applyBorder="1"/>
    <xf numFmtId="165" fontId="18" fillId="2" borderId="11" xfId="1" applyNumberFormat="1" applyFont="1" applyFill="1" applyBorder="1"/>
    <xf numFmtId="165" fontId="18" fillId="2" borderId="0" xfId="1" applyNumberFormat="1" applyFont="1" applyFill="1"/>
    <xf numFmtId="165" fontId="3" fillId="2" borderId="9" xfId="1" applyNumberFormat="1" applyFont="1" applyFill="1" applyBorder="1" applyAlignment="1">
      <alignment vertical="top"/>
    </xf>
    <xf numFmtId="43" fontId="14" fillId="0" borderId="0" xfId="0" applyNumberFormat="1" applyFont="1"/>
    <xf numFmtId="165" fontId="3" fillId="3" borderId="0" xfId="1" applyNumberFormat="1" applyFont="1" applyFill="1" applyAlignment="1">
      <alignment wrapText="1"/>
    </xf>
    <xf numFmtId="166" fontId="3" fillId="3" borderId="4" xfId="3" applyNumberFormat="1" applyFont="1" applyFill="1" applyBorder="1"/>
    <xf numFmtId="166" fontId="3" fillId="3" borderId="4" xfId="3" applyNumberFormat="1" applyFont="1" applyFill="1" applyBorder="1" applyAlignment="1">
      <alignment horizontal="center" vertical="center"/>
    </xf>
    <xf numFmtId="166" fontId="3" fillId="3" borderId="2" xfId="3" applyNumberFormat="1" applyFont="1" applyFill="1" applyBorder="1"/>
    <xf numFmtId="165" fontId="3" fillId="3" borderId="4" xfId="3" applyNumberFormat="1" applyFont="1" applyFill="1" applyBorder="1"/>
    <xf numFmtId="166" fontId="14" fillId="0" borderId="0" xfId="3" applyNumberFormat="1" applyFont="1" applyAlignment="1"/>
    <xf numFmtId="166" fontId="14" fillId="0" borderId="0" xfId="3" applyNumberFormat="1" applyFont="1" applyFill="1"/>
    <xf numFmtId="166" fontId="14" fillId="0" borderId="0" xfId="0" applyNumberFormat="1" applyFont="1"/>
    <xf numFmtId="0" fontId="2" fillId="2" borderId="10" xfId="1" applyFont="1" applyFill="1" applyBorder="1" applyAlignment="1">
      <alignment wrapText="1"/>
    </xf>
    <xf numFmtId="0" fontId="2" fillId="2" borderId="11" xfId="1" applyFont="1" applyFill="1" applyBorder="1" applyAlignment="1">
      <alignment horizontal="right" vertical="center" wrapText="1"/>
    </xf>
    <xf numFmtId="0" fontId="2" fillId="2" borderId="0" xfId="1" applyFont="1" applyFill="1" applyAlignment="1">
      <alignment wrapText="1"/>
    </xf>
    <xf numFmtId="0" fontId="2" fillId="2" borderId="0" xfId="1" applyFont="1" applyFill="1" applyAlignment="1">
      <alignment horizontal="right" vertical="center" wrapText="1"/>
    </xf>
    <xf numFmtId="0" fontId="2" fillId="2" borderId="10" xfId="1" applyFont="1" applyFill="1" applyBorder="1" applyAlignment="1">
      <alignment horizontal="right" vertical="center" wrapText="1"/>
    </xf>
    <xf numFmtId="0" fontId="2" fillId="2" borderId="12" xfId="1" applyFont="1" applyFill="1" applyBorder="1" applyAlignment="1">
      <alignment horizontal="right" vertical="center" wrapText="1"/>
    </xf>
    <xf numFmtId="164" fontId="14" fillId="0" borderId="0" xfId="3" applyFont="1" applyAlignment="1"/>
    <xf numFmtId="0" fontId="14" fillId="0" borderId="2" xfId="0" applyFont="1" applyBorder="1" applyAlignment="1">
      <alignment vertical="center" wrapText="1"/>
    </xf>
    <xf numFmtId="164" fontId="0" fillId="0" borderId="1" xfId="3" applyFont="1" applyBorder="1" applyAlignment="1"/>
    <xf numFmtId="0" fontId="0" fillId="0" borderId="3" xfId="0" applyBorder="1"/>
    <xf numFmtId="0" fontId="5" fillId="3" borderId="1" xfId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9" fillId="0" borderId="5" xfId="1" applyFont="1" applyBorder="1" applyAlignment="1">
      <alignment horizontal="left" wrapText="1"/>
    </xf>
    <xf numFmtId="0" fontId="9" fillId="0" borderId="7" xfId="1" applyFont="1" applyBorder="1" applyAlignment="1">
      <alignment horizontal="left" wrapText="1"/>
    </xf>
    <xf numFmtId="0" fontId="4" fillId="0" borderId="4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0" fontId="9" fillId="0" borderId="3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justify" wrapText="1"/>
    </xf>
    <xf numFmtId="0" fontId="14" fillId="0" borderId="11" xfId="0" applyFont="1" applyBorder="1" applyAlignment="1">
      <alignment wrapText="1"/>
    </xf>
    <xf numFmtId="0" fontId="9" fillId="0" borderId="9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left" vertical="center" wrapText="1"/>
    </xf>
    <xf numFmtId="0" fontId="4" fillId="3" borderId="15" xfId="1" applyFont="1" applyFill="1" applyBorder="1" applyAlignment="1">
      <alignment horizontal="center" vertical="center" wrapText="1"/>
    </xf>
    <xf numFmtId="0" fontId="2" fillId="2" borderId="6" xfId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4" fillId="3" borderId="4" xfId="1" applyFont="1" applyFill="1" applyBorder="1" applyAlignment="1">
      <alignment horizontal="left" vertical="center" wrapText="1"/>
    </xf>
    <xf numFmtId="0" fontId="9" fillId="2" borderId="5" xfId="1" applyFont="1" applyFill="1" applyBorder="1" applyAlignment="1">
      <alignment horizontal="left" wrapText="1"/>
    </xf>
    <xf numFmtId="0" fontId="9" fillId="2" borderId="7" xfId="1" applyFont="1" applyFill="1" applyBorder="1" applyAlignment="1">
      <alignment horizontal="left" wrapText="1"/>
    </xf>
    <xf numFmtId="0" fontId="9" fillId="2" borderId="9" xfId="1" applyFont="1" applyFill="1" applyBorder="1" applyAlignment="1">
      <alignment horizontal="left" wrapText="1"/>
    </xf>
    <xf numFmtId="0" fontId="9" fillId="2" borderId="10" xfId="1" applyFont="1" applyFill="1" applyBorder="1" applyAlignment="1">
      <alignment horizontal="left" wrapText="1"/>
    </xf>
    <xf numFmtId="0" fontId="2" fillId="2" borderId="6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164" fontId="14" fillId="0" borderId="1" xfId="3" applyFont="1" applyBorder="1" applyAlignment="1"/>
    <xf numFmtId="0" fontId="14" fillId="0" borderId="3" xfId="0" applyFont="1" applyBorder="1"/>
    <xf numFmtId="0" fontId="20" fillId="3" borderId="1" xfId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left" wrapText="1"/>
    </xf>
    <xf numFmtId="0" fontId="15" fillId="2" borderId="7" xfId="1" applyFont="1" applyFill="1" applyBorder="1" applyAlignment="1">
      <alignment horizontal="left" wrapText="1"/>
    </xf>
    <xf numFmtId="0" fontId="5" fillId="3" borderId="4" xfId="1" applyFont="1" applyFill="1" applyBorder="1" applyAlignment="1">
      <alignment horizontal="left" vertical="center" wrapText="1"/>
    </xf>
    <xf numFmtId="0" fontId="15" fillId="2" borderId="9" xfId="1" applyFont="1" applyFill="1" applyBorder="1" applyAlignment="1">
      <alignment horizontal="left" vertical="center" wrapText="1"/>
    </xf>
    <xf numFmtId="0" fontId="15" fillId="2" borderId="9" xfId="1" applyFont="1" applyFill="1" applyBorder="1" applyAlignment="1">
      <alignment horizontal="left" wrapText="1"/>
    </xf>
    <xf numFmtId="0" fontId="10" fillId="3" borderId="15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7" fillId="2" borderId="9" xfId="1" applyFont="1" applyFill="1" applyBorder="1" applyAlignment="1">
      <alignment horizontal="left" vertical="center" wrapText="1"/>
    </xf>
    <xf numFmtId="0" fontId="2" fillId="2" borderId="4" xfId="1" applyFont="1" applyFill="1" applyBorder="1" applyAlignment="1">
      <alignment horizontal="center" vertical="center"/>
    </xf>
    <xf numFmtId="0" fontId="0" fillId="0" borderId="9" xfId="0" applyBorder="1"/>
  </cellXfs>
  <cellStyles count="7">
    <cellStyle name="Excel Built-in Comma [0]" xfId="6"/>
    <cellStyle name="Migliaia" xfId="3" builtinId="3"/>
    <cellStyle name="Normale" xfId="0" builtinId="0"/>
    <cellStyle name="Normale 2" xfId="1"/>
    <cellStyle name="Normale 3" xfId="4"/>
    <cellStyle name="Normale 4" xfId="5"/>
    <cellStyle name="Percentuale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160020</xdr:colOff>
          <xdr:row>0</xdr:row>
          <xdr:rowOff>60960</xdr:rowOff>
        </xdr:from>
        <xdr:to>
          <xdr:col>1</xdr:col>
          <xdr:colOff>739140</xdr:colOff>
          <xdr:row>2</xdr:row>
          <xdr:rowOff>91440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160020</xdr:colOff>
          <xdr:row>0</xdr:row>
          <xdr:rowOff>60960</xdr:rowOff>
        </xdr:from>
        <xdr:to>
          <xdr:col>1</xdr:col>
          <xdr:colOff>731520</xdr:colOff>
          <xdr:row>2</xdr:row>
          <xdr:rowOff>99060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0</xdr:row>
          <xdr:rowOff>30480</xdr:rowOff>
        </xdr:from>
        <xdr:to>
          <xdr:col>1</xdr:col>
          <xdr:colOff>754380</xdr:colOff>
          <xdr:row>2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0"/>
  <sheetViews>
    <sheetView workbookViewId="0">
      <selection sqref="A1:XFD1048576"/>
    </sheetView>
  </sheetViews>
  <sheetFormatPr defaultColWidth="9.109375" defaultRowHeight="14.4"/>
  <cols>
    <col min="1" max="1" width="4.33203125" style="15" customWidth="1"/>
    <col min="2" max="2" width="91.109375" style="15" customWidth="1"/>
    <col min="3" max="3" width="26.44140625" style="15" customWidth="1"/>
    <col min="4" max="4" width="23.109375" style="15" customWidth="1"/>
    <col min="5" max="6" width="19.44140625" style="15" customWidth="1"/>
    <col min="7" max="7" width="15.6640625" style="6" hidden="1" customWidth="1"/>
    <col min="8" max="9" width="13.109375" style="15" hidden="1" customWidth="1"/>
    <col min="10" max="10" width="11.5546875" style="15" hidden="1" customWidth="1"/>
    <col min="11" max="15" width="9.109375" style="15"/>
    <col min="16" max="16" width="13.33203125" style="15" bestFit="1" customWidth="1"/>
    <col min="17" max="16384" width="9.109375" style="15"/>
  </cols>
  <sheetData>
    <row r="1" spans="1:7" ht="21" customHeight="1">
      <c r="A1" s="32"/>
      <c r="B1" s="17"/>
      <c r="C1" s="155" t="s">
        <v>73</v>
      </c>
      <c r="D1" s="156"/>
      <c r="E1" s="156"/>
      <c r="F1" s="157"/>
    </row>
    <row r="2" spans="1:7" ht="19.5" customHeight="1">
      <c r="A2" s="127"/>
      <c r="B2" s="128"/>
      <c r="C2" s="155" t="s">
        <v>50</v>
      </c>
      <c r="D2" s="156"/>
      <c r="E2" s="156"/>
      <c r="F2" s="157"/>
    </row>
    <row r="3" spans="1:7" ht="19.2" customHeight="1">
      <c r="A3" s="129"/>
      <c r="B3" s="130"/>
      <c r="C3" s="163" t="s">
        <v>72</v>
      </c>
      <c r="D3" s="164"/>
      <c r="E3" s="164"/>
      <c r="F3" s="165"/>
      <c r="G3" s="134"/>
    </row>
    <row r="4" spans="1:7" ht="15" customHeight="1">
      <c r="A4" s="154"/>
      <c r="B4" s="154"/>
      <c r="C4" s="137" t="s">
        <v>60</v>
      </c>
      <c r="D4" s="139" t="s">
        <v>61</v>
      </c>
      <c r="E4" s="141" t="s">
        <v>62</v>
      </c>
      <c r="F4" s="142" t="s">
        <v>0</v>
      </c>
      <c r="G4" s="135" t="s">
        <v>53</v>
      </c>
    </row>
    <row r="5" spans="1:7" ht="21" customHeight="1">
      <c r="A5" s="154"/>
      <c r="B5" s="154"/>
      <c r="C5" s="138"/>
      <c r="D5" s="140"/>
      <c r="E5" s="138"/>
      <c r="F5" s="143"/>
      <c r="G5" s="136"/>
    </row>
    <row r="6" spans="1:7">
      <c r="A6" s="158" t="s">
        <v>1</v>
      </c>
      <c r="B6" s="158"/>
      <c r="C6" s="19"/>
      <c r="D6" s="19"/>
      <c r="E6" s="19"/>
      <c r="F6" s="33"/>
    </row>
    <row r="7" spans="1:7" ht="15.75" customHeight="1">
      <c r="A7" s="159" t="s">
        <v>2</v>
      </c>
      <c r="B7" s="160"/>
      <c r="C7" s="34">
        <v>6335198</v>
      </c>
      <c r="D7" s="34">
        <v>324092</v>
      </c>
      <c r="E7" s="34">
        <v>550707</v>
      </c>
      <c r="F7" s="67">
        <f>SUM(C7:E7)</f>
        <v>7209997</v>
      </c>
      <c r="G7" s="57">
        <f>2207147.88</f>
        <v>2207147.88</v>
      </c>
    </row>
    <row r="8" spans="1:7" ht="15.75" customHeight="1">
      <c r="A8" s="161" t="s">
        <v>3</v>
      </c>
      <c r="B8" s="161"/>
      <c r="C8" s="34"/>
      <c r="D8" s="34"/>
      <c r="E8" s="34"/>
      <c r="F8" s="68">
        <f>SUM(C8:E8)</f>
        <v>0</v>
      </c>
      <c r="G8" s="56"/>
    </row>
    <row r="9" spans="1:7" ht="13.5" customHeight="1">
      <c r="A9" s="36"/>
      <c r="B9" s="37" t="s">
        <v>4</v>
      </c>
      <c r="C9" s="34">
        <f>8150+246980</f>
        <v>255130</v>
      </c>
      <c r="D9" s="34">
        <v>12629</v>
      </c>
      <c r="E9" s="34">
        <v>21490</v>
      </c>
      <c r="F9" s="35">
        <f>SUM(C9:E9)</f>
        <v>289249</v>
      </c>
      <c r="G9" s="56"/>
    </row>
    <row r="10" spans="1:7">
      <c r="A10" s="158" t="s">
        <v>5</v>
      </c>
      <c r="B10" s="158"/>
      <c r="C10" s="3">
        <f>SUM(C7:C9)</f>
        <v>6590328</v>
      </c>
      <c r="D10" s="3">
        <f>SUM(D7:D9)</f>
        <v>336721</v>
      </c>
      <c r="E10" s="3">
        <f>SUM(E7:E9)</f>
        <v>572197</v>
      </c>
      <c r="F10" s="2">
        <f>SUM(C10:E10)</f>
        <v>7499246</v>
      </c>
      <c r="G10" s="55">
        <f>G7</f>
        <v>2207147.88</v>
      </c>
    </row>
    <row r="11" spans="1:7">
      <c r="A11" s="158" t="s">
        <v>6</v>
      </c>
      <c r="B11" s="158"/>
      <c r="C11" s="38"/>
      <c r="D11" s="20"/>
      <c r="E11" s="20"/>
      <c r="F11" s="33"/>
    </row>
    <row r="12" spans="1:7" ht="15" customHeight="1">
      <c r="A12" s="161" t="s">
        <v>7</v>
      </c>
      <c r="B12" s="162"/>
      <c r="C12" s="39">
        <v>270723</v>
      </c>
      <c r="D12" s="39">
        <v>11740</v>
      </c>
      <c r="E12" s="39">
        <v>14029</v>
      </c>
      <c r="F12" s="35">
        <f>SUM(C12:E12)</f>
        <v>296492</v>
      </c>
      <c r="G12" s="57">
        <v>98704.29</v>
      </c>
    </row>
    <row r="13" spans="1:7">
      <c r="A13" s="161" t="s">
        <v>8</v>
      </c>
      <c r="B13" s="162"/>
      <c r="C13" s="34"/>
      <c r="D13" s="34"/>
      <c r="E13" s="34"/>
      <c r="F13" s="35"/>
      <c r="G13" s="58"/>
    </row>
    <row r="14" spans="1:7" ht="9.75" customHeight="1">
      <c r="A14" s="40"/>
      <c r="B14" s="23" t="s">
        <v>9</v>
      </c>
      <c r="C14" s="24"/>
      <c r="D14" s="24"/>
      <c r="E14" s="24"/>
      <c r="F14" s="35">
        <f t="shared" ref="F14:F22" si="0">SUM(C14:E14)</f>
        <v>0</v>
      </c>
      <c r="G14" s="59"/>
    </row>
    <row r="15" spans="1:7" ht="15" customHeight="1">
      <c r="A15" s="40"/>
      <c r="B15" s="23" t="s">
        <v>51</v>
      </c>
      <c r="C15" s="24">
        <v>59749</v>
      </c>
      <c r="D15" s="24">
        <v>1253</v>
      </c>
      <c r="E15" s="24">
        <v>3284</v>
      </c>
      <c r="F15" s="35">
        <f t="shared" si="0"/>
        <v>64286</v>
      </c>
      <c r="G15" s="59">
        <v>21707.5</v>
      </c>
    </row>
    <row r="16" spans="1:7" ht="15" customHeight="1">
      <c r="A16" s="40"/>
      <c r="B16" s="23" t="s">
        <v>10</v>
      </c>
      <c r="C16" s="24">
        <v>107641</v>
      </c>
      <c r="D16" s="24">
        <v>5504</v>
      </c>
      <c r="E16" s="24">
        <v>9366</v>
      </c>
      <c r="F16" s="35">
        <f t="shared" si="0"/>
        <v>122511</v>
      </c>
      <c r="G16" s="59">
        <v>18580</v>
      </c>
    </row>
    <row r="17" spans="1:16" ht="15.75" customHeight="1">
      <c r="A17" s="40"/>
      <c r="B17" s="23" t="s">
        <v>11</v>
      </c>
      <c r="C17" s="24"/>
      <c r="D17" s="24"/>
      <c r="E17" s="24"/>
      <c r="F17" s="35">
        <f t="shared" si="0"/>
        <v>0</v>
      </c>
      <c r="G17" s="59"/>
    </row>
    <row r="18" spans="1:16" ht="15" customHeight="1">
      <c r="A18" s="40"/>
      <c r="B18" s="23" t="s">
        <v>12</v>
      </c>
      <c r="C18" s="24"/>
      <c r="D18" s="24"/>
      <c r="E18" s="24"/>
      <c r="F18" s="35">
        <f t="shared" si="0"/>
        <v>0</v>
      </c>
      <c r="G18" s="59"/>
    </row>
    <row r="19" spans="1:16" ht="15.75" customHeight="1">
      <c r="A19" s="40"/>
      <c r="B19" s="23" t="s">
        <v>13</v>
      </c>
      <c r="C19" s="24"/>
      <c r="D19" s="24"/>
      <c r="E19" s="24"/>
      <c r="F19" s="35">
        <f t="shared" si="0"/>
        <v>0</v>
      </c>
      <c r="G19" s="59"/>
    </row>
    <row r="20" spans="1:16" ht="14.25" customHeight="1">
      <c r="A20" s="40"/>
      <c r="B20" s="23" t="s">
        <v>71</v>
      </c>
      <c r="C20" s="24">
        <f>73495.19+303.96+1231.13+5908</f>
        <v>80938.280000000013</v>
      </c>
      <c r="D20" s="24">
        <v>1332.28</v>
      </c>
      <c r="E20" s="24">
        <v>5924.57</v>
      </c>
      <c r="F20" s="35">
        <f t="shared" si="0"/>
        <v>88195.13</v>
      </c>
      <c r="G20" s="59">
        <v>32083.33</v>
      </c>
    </row>
    <row r="21" spans="1:16" ht="15.75" customHeight="1">
      <c r="A21" s="40"/>
      <c r="B21" s="23" t="s">
        <v>14</v>
      </c>
      <c r="C21" s="24">
        <v>80833</v>
      </c>
      <c r="D21" s="24">
        <v>4136</v>
      </c>
      <c r="E21" s="24">
        <v>7038</v>
      </c>
      <c r="F21" s="35">
        <f t="shared" si="0"/>
        <v>92007</v>
      </c>
      <c r="G21" s="59">
        <v>14595</v>
      </c>
    </row>
    <row r="22" spans="1:16" ht="16.5" customHeight="1">
      <c r="A22" s="152" t="s">
        <v>15</v>
      </c>
      <c r="B22" s="153"/>
      <c r="C22" s="41">
        <f>485708-26</f>
        <v>485682</v>
      </c>
      <c r="D22" s="41"/>
      <c r="E22" s="41"/>
      <c r="F22" s="35">
        <f t="shared" si="0"/>
        <v>485682</v>
      </c>
      <c r="G22" s="59">
        <v>152735.42000000001</v>
      </c>
    </row>
    <row r="23" spans="1:16" ht="16.5" customHeight="1">
      <c r="A23" s="152" t="s">
        <v>16</v>
      </c>
      <c r="B23" s="153"/>
      <c r="C23" s="41"/>
      <c r="D23" s="41"/>
      <c r="E23" s="41"/>
      <c r="F23" s="35"/>
      <c r="G23" s="59"/>
    </row>
    <row r="24" spans="1:16" ht="15" customHeight="1">
      <c r="A24" s="40"/>
      <c r="B24" s="42" t="s">
        <v>17</v>
      </c>
      <c r="C24" s="41">
        <f>3174682+266387+128512-323-22042</f>
        <v>3547216</v>
      </c>
      <c r="D24" s="41">
        <f>177974+13779</f>
        <v>191753</v>
      </c>
      <c r="E24" s="41">
        <f>239884+18372</f>
        <v>258256</v>
      </c>
      <c r="F24" s="35">
        <f t="shared" ref="F24:F37" si="1">SUM(C24:E24)</f>
        <v>3997225</v>
      </c>
      <c r="G24" s="60">
        <v>1507133.91</v>
      </c>
      <c r="H24" s="26"/>
      <c r="I24" s="26"/>
    </row>
    <row r="25" spans="1:16" ht="15" customHeight="1">
      <c r="A25" s="40"/>
      <c r="B25" s="42" t="s">
        <v>18</v>
      </c>
      <c r="C25" s="41">
        <f>769552+94151+39244+11676</f>
        <v>914623</v>
      </c>
      <c r="D25" s="41">
        <f>57757+4870</f>
        <v>62627</v>
      </c>
      <c r="E25" s="41">
        <f>86621+6493</f>
        <v>93114</v>
      </c>
      <c r="F25" s="35">
        <f>SUM(C25:E25)</f>
        <v>1070364</v>
      </c>
      <c r="G25" s="60">
        <v>494407.82</v>
      </c>
      <c r="H25" s="26"/>
      <c r="I25" s="26"/>
    </row>
    <row r="26" spans="1:16" ht="15" customHeight="1">
      <c r="A26" s="40"/>
      <c r="B26" s="42" t="s">
        <v>19</v>
      </c>
      <c r="C26" s="41">
        <f>222049+10718+12998</f>
        <v>245765</v>
      </c>
      <c r="D26" s="41">
        <f>12546+554</f>
        <v>13100</v>
      </c>
      <c r="E26" s="41">
        <f>16974+739</f>
        <v>17713</v>
      </c>
      <c r="F26" s="35">
        <f t="shared" si="1"/>
        <v>276578</v>
      </c>
      <c r="G26" s="60">
        <v>95412.479999999996</v>
      </c>
      <c r="H26" s="26"/>
      <c r="I26" s="26"/>
    </row>
    <row r="27" spans="1:16" ht="15" customHeight="1">
      <c r="A27" s="40"/>
      <c r="B27" s="42" t="s">
        <v>20</v>
      </c>
      <c r="C27" s="41"/>
      <c r="D27" s="41"/>
      <c r="E27" s="41"/>
      <c r="F27" s="35">
        <f t="shared" si="1"/>
        <v>0</v>
      </c>
      <c r="G27" s="60"/>
      <c r="H27" s="26"/>
      <c r="I27" s="26"/>
    </row>
    <row r="28" spans="1:16" ht="15" customHeight="1">
      <c r="A28" s="40"/>
      <c r="B28" s="42" t="s">
        <v>21</v>
      </c>
      <c r="C28" s="41">
        <f>168555+11359+41700+22042+121250</f>
        <v>364906</v>
      </c>
      <c r="D28" s="41">
        <f>8650+587+6200</f>
        <v>15437</v>
      </c>
      <c r="E28" s="41">
        <f>40620+783+10550</f>
        <v>51953</v>
      </c>
      <c r="F28" s="35">
        <f>SUM(C28:E28)</f>
        <v>432296</v>
      </c>
      <c r="G28" s="61">
        <v>12083.33</v>
      </c>
      <c r="H28" s="26"/>
      <c r="I28" s="26"/>
      <c r="J28" s="26">
        <f>SUM(E23:E27)</f>
        <v>369083</v>
      </c>
      <c r="L28" s="16"/>
      <c r="M28" s="16"/>
      <c r="N28" s="16"/>
      <c r="P28" s="133"/>
    </row>
    <row r="29" spans="1:16" ht="5.25" customHeight="1">
      <c r="A29" s="40"/>
      <c r="B29" s="42"/>
      <c r="C29" s="41"/>
      <c r="D29" s="41"/>
      <c r="E29" s="41"/>
      <c r="F29" s="35"/>
      <c r="G29" s="62"/>
      <c r="H29" s="26">
        <f>SUM(C24:C28)</f>
        <v>5072510</v>
      </c>
      <c r="I29" s="26">
        <f t="shared" ref="I29:J29" si="2">SUM(D24:D28)</f>
        <v>282917</v>
      </c>
      <c r="J29" s="26">
        <f t="shared" si="2"/>
        <v>421036</v>
      </c>
    </row>
    <row r="30" spans="1:16">
      <c r="A30" s="152" t="s">
        <v>22</v>
      </c>
      <c r="B30" s="153"/>
      <c r="C30" s="41"/>
      <c r="D30" s="41"/>
      <c r="E30" s="41"/>
      <c r="F30" s="35">
        <f t="shared" si="1"/>
        <v>0</v>
      </c>
      <c r="G30" s="61"/>
      <c r="H30" s="26">
        <v>3562166</v>
      </c>
      <c r="I30" s="26">
        <v>199288</v>
      </c>
      <c r="J30" s="25">
        <v>305860</v>
      </c>
      <c r="P30" s="25"/>
    </row>
    <row r="31" spans="1:16" ht="15" customHeight="1">
      <c r="A31" s="44"/>
      <c r="B31" s="42" t="s">
        <v>23</v>
      </c>
      <c r="C31" s="24">
        <v>5810</v>
      </c>
      <c r="D31" s="24">
        <v>297</v>
      </c>
      <c r="E31" s="24">
        <v>506</v>
      </c>
      <c r="F31" s="35">
        <f>SUM(C31:E31)</f>
        <v>6613</v>
      </c>
      <c r="G31" s="61">
        <v>1563.18</v>
      </c>
      <c r="H31" s="26">
        <f>H29-H30</f>
        <v>1510344</v>
      </c>
      <c r="I31" s="26">
        <f t="shared" ref="I31:J31" si="3">I29-I30</f>
        <v>83629</v>
      </c>
      <c r="J31" s="26">
        <f t="shared" si="3"/>
        <v>115176</v>
      </c>
      <c r="L31" s="16"/>
      <c r="P31" s="118"/>
    </row>
    <row r="32" spans="1:16" ht="15" customHeight="1">
      <c r="A32" s="44"/>
      <c r="B32" s="42" t="s">
        <v>24</v>
      </c>
      <c r="C32" s="24">
        <f>88557-780</f>
        <v>87777</v>
      </c>
      <c r="D32" s="24">
        <v>1972</v>
      </c>
      <c r="E32" s="24">
        <v>9913</v>
      </c>
      <c r="F32" s="35">
        <f>SUM(C32:E32)</f>
        <v>99662</v>
      </c>
      <c r="G32" s="61">
        <v>48095</v>
      </c>
      <c r="H32" s="26">
        <v>504701</v>
      </c>
      <c r="I32" s="26"/>
    </row>
    <row r="33" spans="1:9" ht="15" customHeight="1">
      <c r="A33" s="44"/>
      <c r="B33" s="42" t="s">
        <v>25</v>
      </c>
      <c r="C33" s="24"/>
      <c r="D33" s="24"/>
      <c r="E33" s="24"/>
      <c r="F33" s="35">
        <f t="shared" si="1"/>
        <v>0</v>
      </c>
      <c r="G33" s="61"/>
      <c r="H33" s="26">
        <f>H32-H31</f>
        <v>-1005643</v>
      </c>
      <c r="I33" s="26"/>
    </row>
    <row r="34" spans="1:9" ht="18.75" customHeight="1">
      <c r="A34" s="44"/>
      <c r="B34" s="45" t="s">
        <v>26</v>
      </c>
      <c r="C34" s="24"/>
      <c r="D34" s="24"/>
      <c r="E34" s="24"/>
      <c r="F34" s="35">
        <f t="shared" si="1"/>
        <v>0</v>
      </c>
      <c r="G34" s="61"/>
      <c r="H34" s="26"/>
      <c r="I34" s="26"/>
    </row>
    <row r="35" spans="1:9">
      <c r="A35" s="152" t="s">
        <v>27</v>
      </c>
      <c r="B35" s="153"/>
      <c r="C35" s="41">
        <v>-9190</v>
      </c>
      <c r="D35" s="41">
        <v>-470</v>
      </c>
      <c r="E35" s="41">
        <v>-800</v>
      </c>
      <c r="F35" s="35">
        <f>SUM(C35:E35)</f>
        <v>-10460</v>
      </c>
      <c r="G35" s="61"/>
      <c r="H35" s="26"/>
      <c r="I35" s="26"/>
    </row>
    <row r="36" spans="1:9">
      <c r="A36" s="152" t="s">
        <v>28</v>
      </c>
      <c r="B36" s="153"/>
      <c r="C36" s="41"/>
      <c r="D36" s="41"/>
      <c r="E36" s="41"/>
      <c r="F36" s="35">
        <f t="shared" si="1"/>
        <v>0</v>
      </c>
      <c r="G36" s="61"/>
      <c r="H36" s="26"/>
      <c r="I36" s="26"/>
    </row>
    <row r="37" spans="1:9">
      <c r="A37" s="152" t="s">
        <v>29</v>
      </c>
      <c r="B37" s="153"/>
      <c r="C37" s="41"/>
      <c r="D37" s="41"/>
      <c r="E37" s="41"/>
      <c r="F37" s="35">
        <f t="shared" si="1"/>
        <v>0</v>
      </c>
      <c r="G37" s="61"/>
      <c r="H37" s="26"/>
      <c r="I37" s="26"/>
    </row>
    <row r="38" spans="1:9">
      <c r="A38" s="152" t="s">
        <v>30</v>
      </c>
      <c r="B38" s="153"/>
      <c r="C38" s="46">
        <v>45504</v>
      </c>
      <c r="D38" s="46">
        <v>2327</v>
      </c>
      <c r="E38" s="46">
        <v>3959</v>
      </c>
      <c r="F38" s="35">
        <f>SUM(C38:E38)</f>
        <v>51790</v>
      </c>
      <c r="G38" s="63">
        <v>25375</v>
      </c>
      <c r="H38" s="26"/>
      <c r="I38" s="26"/>
    </row>
    <row r="39" spans="1:9">
      <c r="A39" s="146" t="s">
        <v>31</v>
      </c>
      <c r="B39" s="146"/>
      <c r="C39" s="4">
        <f>SUM(C12:C38)</f>
        <v>6287977.2800000003</v>
      </c>
      <c r="D39" s="4">
        <f>SUM(D12:D38)</f>
        <v>311008.28000000003</v>
      </c>
      <c r="E39" s="4">
        <f>SUM(E12:E38)</f>
        <v>474255.57</v>
      </c>
      <c r="F39" s="5">
        <f>SUM(F12:F38)</f>
        <v>7073241.1299999999</v>
      </c>
      <c r="G39" s="5">
        <f>SUM(G12:G38)</f>
        <v>2522476.2600000002</v>
      </c>
      <c r="H39" s="26"/>
      <c r="I39" s="26"/>
    </row>
    <row r="40" spans="1:9">
      <c r="A40" s="146" t="s">
        <v>32</v>
      </c>
      <c r="B40" s="146"/>
      <c r="C40" s="4">
        <f>C10-C39</f>
        <v>302350.71999999974</v>
      </c>
      <c r="D40" s="4">
        <f>D10-D39</f>
        <v>25712.719999999972</v>
      </c>
      <c r="E40" s="4">
        <f>E10-E39</f>
        <v>97941.43</v>
      </c>
      <c r="F40" s="5">
        <f>F10-F39</f>
        <v>426004.87000000011</v>
      </c>
      <c r="G40" s="5">
        <f>G10-G39</f>
        <v>-315328.38000000035</v>
      </c>
    </row>
    <row r="41" spans="1:9">
      <c r="A41" s="146" t="s">
        <v>33</v>
      </c>
      <c r="B41" s="146"/>
      <c r="C41" s="4"/>
      <c r="D41" s="47"/>
      <c r="E41" s="47"/>
      <c r="F41" s="48"/>
      <c r="G41" s="12"/>
    </row>
    <row r="42" spans="1:9">
      <c r="A42" s="152" t="s">
        <v>34</v>
      </c>
      <c r="B42" s="152"/>
      <c r="C42" s="49">
        <v>0</v>
      </c>
      <c r="D42" s="49"/>
      <c r="E42" s="50"/>
      <c r="F42" s="49">
        <v>0</v>
      </c>
      <c r="G42" s="64"/>
    </row>
    <row r="43" spans="1:9">
      <c r="A43" s="152" t="s">
        <v>36</v>
      </c>
      <c r="B43" s="152"/>
      <c r="C43" s="41">
        <v>0</v>
      </c>
      <c r="D43" s="41"/>
      <c r="E43" s="50"/>
      <c r="F43" s="41">
        <v>0</v>
      </c>
      <c r="G43" s="59"/>
    </row>
    <row r="44" spans="1:9" ht="12" customHeight="1">
      <c r="A44" s="152" t="s">
        <v>37</v>
      </c>
      <c r="B44" s="152"/>
      <c r="C44" s="41"/>
      <c r="D44" s="41"/>
      <c r="E44" s="50"/>
      <c r="F44" s="41">
        <v>0</v>
      </c>
      <c r="G44" s="59"/>
    </row>
    <row r="45" spans="1:9" ht="14.25" customHeight="1">
      <c r="A45" s="40"/>
      <c r="B45" s="51" t="s">
        <v>38</v>
      </c>
      <c r="C45" s="41">
        <v>118348</v>
      </c>
      <c r="D45" s="41">
        <v>6052</v>
      </c>
      <c r="E45" s="50">
        <v>10297</v>
      </c>
      <c r="F45" s="41">
        <f>SUM(C45:E45)</f>
        <v>134697</v>
      </c>
      <c r="G45" s="62">
        <v>44991.67</v>
      </c>
    </row>
    <row r="46" spans="1:9" ht="14.25" customHeight="1">
      <c r="A46" s="40"/>
      <c r="B46" s="51" t="s">
        <v>39</v>
      </c>
      <c r="C46" s="41"/>
      <c r="D46" s="41"/>
      <c r="E46" s="50"/>
      <c r="F46" s="41">
        <f>SUM(C46:E46)</f>
        <v>0</v>
      </c>
      <c r="G46" s="62">
        <v>2355.83</v>
      </c>
    </row>
    <row r="47" spans="1:9" ht="14.25" customHeight="1">
      <c r="A47" s="40"/>
      <c r="B47" s="51" t="s">
        <v>35</v>
      </c>
      <c r="C47" s="41"/>
      <c r="D47" s="41"/>
      <c r="E47" s="50"/>
      <c r="F47" s="41">
        <f>SUM(C47:E47)</f>
        <v>0</v>
      </c>
      <c r="G47" s="62"/>
    </row>
    <row r="48" spans="1:9">
      <c r="A48" s="152" t="s">
        <v>40</v>
      </c>
      <c r="B48" s="152"/>
      <c r="C48" s="41"/>
      <c r="D48" s="41"/>
      <c r="E48" s="50"/>
      <c r="F48" s="41">
        <v>0</v>
      </c>
      <c r="G48" s="65"/>
    </row>
    <row r="49" spans="1:7">
      <c r="A49" s="146" t="s">
        <v>41</v>
      </c>
      <c r="B49" s="146"/>
      <c r="C49" s="10">
        <f>SUM(C42:C48)</f>
        <v>118348</v>
      </c>
      <c r="D49" s="10">
        <f>SUM(D42:D48)</f>
        <v>6052</v>
      </c>
      <c r="E49" s="9">
        <f>SUM(E42:E48)</f>
        <v>10297</v>
      </c>
      <c r="F49" s="10">
        <f>F45+F46</f>
        <v>134697</v>
      </c>
      <c r="G49" s="10">
        <f>G45+G46</f>
        <v>47347.5</v>
      </c>
    </row>
    <row r="50" spans="1:7">
      <c r="A50" s="147" t="s">
        <v>42</v>
      </c>
      <c r="B50" s="147"/>
      <c r="C50" s="52"/>
      <c r="D50" s="53"/>
      <c r="E50" s="53"/>
      <c r="F50" s="54"/>
      <c r="G50" s="12"/>
    </row>
    <row r="51" spans="1:7">
      <c r="A51" s="148" t="s">
        <v>43</v>
      </c>
      <c r="B51" s="148"/>
      <c r="C51" s="49">
        <v>0</v>
      </c>
      <c r="D51" s="49"/>
      <c r="E51" s="49"/>
      <c r="F51" s="49">
        <v>0</v>
      </c>
      <c r="G51" s="64"/>
    </row>
    <row r="52" spans="1:7">
      <c r="A52" s="149" t="s">
        <v>44</v>
      </c>
      <c r="B52" s="149"/>
      <c r="C52" s="46">
        <v>0</v>
      </c>
      <c r="D52" s="46"/>
      <c r="E52" s="46"/>
      <c r="F52" s="46">
        <v>0</v>
      </c>
      <c r="G52" s="65"/>
    </row>
    <row r="53" spans="1:7">
      <c r="A53" s="146" t="s">
        <v>45</v>
      </c>
      <c r="B53" s="146"/>
      <c r="C53" s="5">
        <v>0</v>
      </c>
      <c r="D53" s="5"/>
      <c r="E53" s="5"/>
      <c r="F53" s="5">
        <v>0</v>
      </c>
      <c r="G53" s="66"/>
    </row>
    <row r="54" spans="1:7" ht="13.5" customHeight="1">
      <c r="A54" s="146" t="s">
        <v>46</v>
      </c>
      <c r="B54" s="146"/>
      <c r="C54" s="5">
        <f>C40-C49</f>
        <v>184002.71999999974</v>
      </c>
      <c r="D54" s="5">
        <f>D40-D49</f>
        <v>19660.719999999972</v>
      </c>
      <c r="E54" s="5">
        <f>E40-E49</f>
        <v>87644.43</v>
      </c>
      <c r="F54" s="5">
        <f>F40-F49</f>
        <v>291307.87000000011</v>
      </c>
      <c r="G54" s="5">
        <f>G40-G49</f>
        <v>-362675.88000000035</v>
      </c>
    </row>
    <row r="55" spans="1:7" ht="1.5" customHeight="1">
      <c r="A55" s="144" t="s">
        <v>47</v>
      </c>
      <c r="B55" s="145"/>
      <c r="C55" s="49">
        <v>0</v>
      </c>
      <c r="D55" s="49"/>
      <c r="E55" s="49"/>
      <c r="F55" s="49"/>
      <c r="G55" s="64"/>
    </row>
    <row r="56" spans="1:7" ht="12.75" customHeight="1">
      <c r="A56" s="150" t="s">
        <v>48</v>
      </c>
      <c r="B56" s="151"/>
      <c r="C56" s="41"/>
      <c r="D56" s="41"/>
      <c r="E56" s="41"/>
      <c r="F56" s="41">
        <v>0</v>
      </c>
      <c r="G56" s="65"/>
    </row>
    <row r="57" spans="1:7">
      <c r="A57" s="146" t="s">
        <v>49</v>
      </c>
      <c r="B57" s="146"/>
      <c r="C57" s="5">
        <f>C54</f>
        <v>184002.71999999974</v>
      </c>
      <c r="D57" s="5">
        <f>D54</f>
        <v>19660.719999999972</v>
      </c>
      <c r="E57" s="5">
        <f>E54</f>
        <v>87644.43</v>
      </c>
      <c r="F57" s="5">
        <f>F54</f>
        <v>291307.87000000011</v>
      </c>
      <c r="G57" s="5">
        <f>G54</f>
        <v>-362675.88000000035</v>
      </c>
    </row>
    <row r="58" spans="1:7">
      <c r="F58" s="16"/>
      <c r="G58" s="12"/>
    </row>
    <row r="59" spans="1:7">
      <c r="G59" s="12"/>
    </row>
    <row r="60" spans="1:7">
      <c r="F60" s="16"/>
    </row>
  </sheetData>
  <mergeCells count="39">
    <mergeCell ref="A4:B5"/>
    <mergeCell ref="C2:F2"/>
    <mergeCell ref="C1:F1"/>
    <mergeCell ref="A23:B23"/>
    <mergeCell ref="A6:B6"/>
    <mergeCell ref="A7:B7"/>
    <mergeCell ref="A8:B8"/>
    <mergeCell ref="A10:B10"/>
    <mergeCell ref="A11:B11"/>
    <mergeCell ref="A12:B12"/>
    <mergeCell ref="A13:B13"/>
    <mergeCell ref="A22:B22"/>
    <mergeCell ref="C3:F3"/>
    <mergeCell ref="A48:B48"/>
    <mergeCell ref="A30:B30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55:B55"/>
    <mergeCell ref="A57:B57"/>
    <mergeCell ref="A49:B49"/>
    <mergeCell ref="A50:B50"/>
    <mergeCell ref="A51:B51"/>
    <mergeCell ref="A52:B52"/>
    <mergeCell ref="A53:B53"/>
    <mergeCell ref="A54:B54"/>
    <mergeCell ref="A56:B56"/>
    <mergeCell ref="G4:G5"/>
    <mergeCell ref="C4:C5"/>
    <mergeCell ref="D4:D5"/>
    <mergeCell ref="E4:E5"/>
    <mergeCell ref="F4:F5"/>
  </mergeCells>
  <pageMargins left="0.21" right="0.19685039370078741" top="0.15748031496062992" bottom="0.17" header="0.23" footer="0.19685039370078741"/>
  <pageSetup paperSize="8" fitToHeight="2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6" r:id="rId4">
          <objectPr defaultSize="0" autoPict="0" r:id="rId5">
            <anchor moveWithCells="1" sizeWithCells="1">
              <from>
                <xdr:col>0</xdr:col>
                <xdr:colOff>160020</xdr:colOff>
                <xdr:row>0</xdr:row>
                <xdr:rowOff>60960</xdr:rowOff>
              </from>
              <to>
                <xdr:col>1</xdr:col>
                <xdr:colOff>739140</xdr:colOff>
                <xdr:row>2</xdr:row>
                <xdr:rowOff>91440</xdr:rowOff>
              </to>
            </anchor>
          </objectPr>
        </oleObject>
      </mc:Choice>
      <mc:Fallback>
        <oleObject progId="MSPhotoEd.3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65"/>
  <sheetViews>
    <sheetView workbookViewId="0">
      <selection activeCell="D19" sqref="D19"/>
    </sheetView>
  </sheetViews>
  <sheetFormatPr defaultColWidth="9.109375" defaultRowHeight="14.4"/>
  <cols>
    <col min="1" max="1" width="3.88671875" style="15" customWidth="1"/>
    <col min="2" max="2" width="70.5546875" style="15" customWidth="1"/>
    <col min="3" max="9" width="18.77734375" style="15" customWidth="1"/>
    <col min="10" max="10" width="15.6640625" style="25" hidden="1" customWidth="1"/>
    <col min="11" max="11" width="13.88671875" style="15" hidden="1" customWidth="1"/>
    <col min="12" max="17" width="0" style="15" hidden="1" customWidth="1"/>
    <col min="18" max="24" width="9.109375" style="15"/>
    <col min="25" max="25" width="11.5546875" style="15" customWidth="1"/>
    <col min="26" max="16384" width="9.109375" style="15"/>
  </cols>
  <sheetData>
    <row r="1" spans="1:10" ht="18" customHeight="1">
      <c r="A1" s="32"/>
      <c r="B1" s="69"/>
      <c r="C1" s="155" t="s">
        <v>74</v>
      </c>
      <c r="D1" s="156"/>
      <c r="E1" s="156"/>
      <c r="F1" s="156"/>
      <c r="G1" s="156"/>
      <c r="H1" s="156"/>
      <c r="I1" s="157"/>
    </row>
    <row r="2" spans="1:10" ht="25.5" customHeight="1">
      <c r="A2" s="127"/>
      <c r="B2" s="131"/>
      <c r="C2" s="155" t="s">
        <v>50</v>
      </c>
      <c r="D2" s="156"/>
      <c r="E2" s="156"/>
      <c r="F2" s="156"/>
      <c r="G2" s="156"/>
      <c r="H2" s="156"/>
      <c r="I2" s="157"/>
    </row>
    <row r="3" spans="1:10" ht="15.75" customHeight="1">
      <c r="A3" s="129"/>
      <c r="B3" s="130"/>
      <c r="C3" s="155" t="s">
        <v>72</v>
      </c>
      <c r="D3" s="176"/>
      <c r="E3" s="176"/>
      <c r="F3" s="176"/>
      <c r="G3" s="176"/>
      <c r="H3" s="176"/>
      <c r="I3" s="177"/>
    </row>
    <row r="4" spans="1:10" ht="12.75" customHeight="1">
      <c r="A4" s="175"/>
      <c r="B4" s="175"/>
      <c r="C4" s="168" t="s">
        <v>54</v>
      </c>
      <c r="D4" s="168" t="s">
        <v>55</v>
      </c>
      <c r="E4" s="168" t="s">
        <v>56</v>
      </c>
      <c r="F4" s="168" t="s">
        <v>57</v>
      </c>
      <c r="G4" s="168" t="s">
        <v>58</v>
      </c>
      <c r="H4" s="168" t="s">
        <v>59</v>
      </c>
      <c r="I4" s="168" t="s">
        <v>0</v>
      </c>
      <c r="J4" s="166" t="s">
        <v>53</v>
      </c>
    </row>
    <row r="5" spans="1:10" ht="24" customHeight="1">
      <c r="A5" s="175"/>
      <c r="B5" s="175"/>
      <c r="C5" s="169"/>
      <c r="D5" s="169"/>
      <c r="E5" s="169"/>
      <c r="F5" s="169"/>
      <c r="G5" s="169"/>
      <c r="H5" s="169"/>
      <c r="I5" s="169"/>
      <c r="J5" s="167"/>
    </row>
    <row r="6" spans="1:10" ht="13.5" customHeight="1">
      <c r="A6" s="158" t="s">
        <v>1</v>
      </c>
      <c r="B6" s="158"/>
      <c r="C6" s="19"/>
      <c r="D6" s="19"/>
      <c r="E6" s="19"/>
      <c r="F6" s="19"/>
      <c r="G6" s="19"/>
      <c r="H6" s="38"/>
      <c r="I6" s="19"/>
    </row>
    <row r="7" spans="1:10" ht="19.5" customHeight="1">
      <c r="A7" s="170" t="s">
        <v>2</v>
      </c>
      <c r="B7" s="171"/>
      <c r="C7" s="34">
        <f>12345608+24113</f>
        <v>12369721</v>
      </c>
      <c r="D7" s="34">
        <v>2281226</v>
      </c>
      <c r="E7" s="34">
        <v>860291</v>
      </c>
      <c r="F7" s="34">
        <v>711075</v>
      </c>
      <c r="G7" s="34">
        <v>282625</v>
      </c>
      <c r="H7" s="70">
        <v>840327</v>
      </c>
      <c r="I7" s="71">
        <f>SUM(C7:H7)</f>
        <v>17345265</v>
      </c>
      <c r="J7" s="72">
        <v>8407559.1699999999</v>
      </c>
    </row>
    <row r="8" spans="1:10" ht="13.5" customHeight="1">
      <c r="A8" s="174" t="s">
        <v>3</v>
      </c>
      <c r="B8" s="174"/>
      <c r="C8" s="34"/>
      <c r="D8" s="34"/>
      <c r="E8" s="34"/>
      <c r="F8" s="34"/>
      <c r="G8" s="34"/>
      <c r="H8" s="73"/>
      <c r="I8" s="67">
        <f>SUM(C8:H8)</f>
        <v>0</v>
      </c>
      <c r="J8" s="72"/>
    </row>
    <row r="9" spans="1:10" ht="12" customHeight="1">
      <c r="A9" s="21"/>
      <c r="B9" s="31" t="s">
        <v>4</v>
      </c>
      <c r="C9" s="34">
        <f>981529.33+59650.44+471248</f>
        <v>1512427.77</v>
      </c>
      <c r="D9" s="34">
        <f>858543+74349</f>
        <v>932892</v>
      </c>
      <c r="E9" s="34">
        <f>(126817*50%)+33508</f>
        <v>96916.5</v>
      </c>
      <c r="F9" s="34">
        <v>27703</v>
      </c>
      <c r="G9" s="34">
        <v>11000</v>
      </c>
      <c r="H9" s="34">
        <f>(126816*50%)+32795</f>
        <v>96203</v>
      </c>
      <c r="I9" s="68">
        <f>SUM(C9:H9)</f>
        <v>2677142.27</v>
      </c>
      <c r="J9" s="74">
        <v>760934.17</v>
      </c>
    </row>
    <row r="10" spans="1:10" ht="15.75" customHeight="1">
      <c r="A10" s="172" t="s">
        <v>5</v>
      </c>
      <c r="B10" s="172"/>
      <c r="C10" s="3">
        <f t="shared" ref="C10:I10" si="0">SUM(C7:C9)</f>
        <v>13882148.77</v>
      </c>
      <c r="D10" s="3">
        <f t="shared" si="0"/>
        <v>3214118</v>
      </c>
      <c r="E10" s="3">
        <f t="shared" si="0"/>
        <v>957207.5</v>
      </c>
      <c r="F10" s="3">
        <f t="shared" si="0"/>
        <v>738778</v>
      </c>
      <c r="G10" s="3">
        <f t="shared" si="0"/>
        <v>293625</v>
      </c>
      <c r="H10" s="13">
        <f t="shared" si="0"/>
        <v>936530</v>
      </c>
      <c r="I10" s="3">
        <f t="shared" si="0"/>
        <v>20022407.27</v>
      </c>
      <c r="J10" s="74">
        <f>J9+J7</f>
        <v>9168493.3399999999</v>
      </c>
    </row>
    <row r="11" spans="1:10" ht="14.25" customHeight="1">
      <c r="A11" s="172" t="s">
        <v>6</v>
      </c>
      <c r="B11" s="172"/>
      <c r="C11" s="20"/>
      <c r="D11" s="20"/>
      <c r="E11" s="20"/>
      <c r="F11" s="20"/>
      <c r="G11" s="20"/>
      <c r="H11" s="75"/>
      <c r="I11" s="33"/>
    </row>
    <row r="12" spans="1:10" ht="13.5" customHeight="1">
      <c r="A12" s="174" t="s">
        <v>7</v>
      </c>
      <c r="B12" s="174"/>
      <c r="C12" s="39">
        <v>857292</v>
      </c>
      <c r="D12" s="39">
        <v>62425</v>
      </c>
      <c r="E12" s="76">
        <v>40990</v>
      </c>
      <c r="F12" s="39">
        <v>17791</v>
      </c>
      <c r="G12" s="39">
        <v>11332</v>
      </c>
      <c r="H12" s="77">
        <v>11320</v>
      </c>
      <c r="I12" s="78">
        <f>SUM(C12:H12)</f>
        <v>1001150</v>
      </c>
      <c r="J12" s="72">
        <v>375338.75</v>
      </c>
    </row>
    <row r="13" spans="1:10" ht="13.5" customHeight="1">
      <c r="A13" s="174" t="s">
        <v>8</v>
      </c>
      <c r="B13" s="174"/>
      <c r="C13" s="34"/>
      <c r="D13" s="34"/>
      <c r="E13" s="79"/>
      <c r="F13" s="34"/>
      <c r="G13" s="34"/>
      <c r="H13" s="80"/>
      <c r="I13" s="35">
        <v>0</v>
      </c>
      <c r="J13" s="81"/>
    </row>
    <row r="14" spans="1:10" ht="12.75" customHeight="1">
      <c r="A14" s="22"/>
      <c r="B14" s="82" t="s">
        <v>9</v>
      </c>
      <c r="C14" s="24"/>
      <c r="D14" s="24"/>
      <c r="E14" s="83"/>
      <c r="F14" s="24"/>
      <c r="G14" s="24"/>
      <c r="H14" s="24"/>
      <c r="I14" s="35">
        <f t="shared" ref="I14:I22" si="1">SUM(C14:H14)</f>
        <v>0</v>
      </c>
      <c r="J14" s="84"/>
    </row>
    <row r="15" spans="1:10" ht="14.25" customHeight="1">
      <c r="A15" s="22"/>
      <c r="B15" s="82" t="s">
        <v>51</v>
      </c>
      <c r="C15" s="24">
        <v>391278</v>
      </c>
      <c r="D15" s="24">
        <v>110080</v>
      </c>
      <c r="E15" s="83">
        <v>22093</v>
      </c>
      <c r="F15" s="24">
        <v>13638</v>
      </c>
      <c r="G15" s="24">
        <v>15566</v>
      </c>
      <c r="H15" s="24">
        <v>21808</v>
      </c>
      <c r="I15" s="35">
        <f t="shared" si="1"/>
        <v>574463</v>
      </c>
      <c r="J15" s="84">
        <v>124010.42</v>
      </c>
    </row>
    <row r="16" spans="1:10" ht="12.75" customHeight="1">
      <c r="A16" s="22"/>
      <c r="B16" s="82" t="s">
        <v>10</v>
      </c>
      <c r="C16" s="24">
        <v>205383</v>
      </c>
      <c r="D16" s="24">
        <v>32403</v>
      </c>
      <c r="E16" s="83">
        <v>14604</v>
      </c>
      <c r="F16" s="24">
        <v>12074</v>
      </c>
      <c r="G16" s="24">
        <v>4794</v>
      </c>
      <c r="H16" s="85">
        <v>14293</v>
      </c>
      <c r="I16" s="35">
        <f t="shared" si="1"/>
        <v>283551</v>
      </c>
      <c r="J16" s="84">
        <v>99965.83</v>
      </c>
    </row>
    <row r="17" spans="1:25" ht="15" customHeight="1">
      <c r="A17" s="22"/>
      <c r="B17" s="82" t="s">
        <v>11</v>
      </c>
      <c r="C17" s="24"/>
      <c r="D17" s="24"/>
      <c r="E17" s="83"/>
      <c r="F17" s="24"/>
      <c r="G17" s="24"/>
      <c r="H17" s="24"/>
      <c r="I17" s="35">
        <f t="shared" si="1"/>
        <v>0</v>
      </c>
      <c r="J17" s="84"/>
    </row>
    <row r="18" spans="1:25" ht="12" customHeight="1">
      <c r="A18" s="22"/>
      <c r="B18" s="82" t="s">
        <v>12</v>
      </c>
      <c r="C18" s="24"/>
      <c r="D18" s="24"/>
      <c r="E18" s="83"/>
      <c r="F18" s="24"/>
      <c r="G18" s="24"/>
      <c r="H18" s="24"/>
      <c r="I18" s="35">
        <f t="shared" si="1"/>
        <v>0</v>
      </c>
      <c r="J18" s="84"/>
    </row>
    <row r="19" spans="1:25" ht="12.75" customHeight="1">
      <c r="A19" s="22"/>
      <c r="B19" s="82" t="s">
        <v>13</v>
      </c>
      <c r="C19" s="24"/>
      <c r="D19" s="24"/>
      <c r="E19" s="83"/>
      <c r="F19" s="24"/>
      <c r="G19" s="24"/>
      <c r="H19" s="24"/>
      <c r="I19" s="35">
        <f t="shared" si="1"/>
        <v>0</v>
      </c>
      <c r="J19" s="84"/>
    </row>
    <row r="20" spans="1:25" ht="13.5" customHeight="1">
      <c r="A20" s="22"/>
      <c r="B20" s="82" t="s">
        <v>69</v>
      </c>
      <c r="C20" s="24">
        <f>211189+1237.1+7500</f>
        <v>219926.1</v>
      </c>
      <c r="D20" s="24"/>
      <c r="E20" s="83"/>
      <c r="F20" s="24">
        <f>6790.24+1878.22</f>
        <v>8668.4599999999991</v>
      </c>
      <c r="G20" s="24">
        <v>7294.53</v>
      </c>
      <c r="H20" s="24">
        <v>423</v>
      </c>
      <c r="I20" s="35">
        <f t="shared" si="1"/>
        <v>236312.09</v>
      </c>
      <c r="J20" s="84">
        <v>209166.67</v>
      </c>
    </row>
    <row r="21" spans="1:25" ht="12" customHeight="1">
      <c r="A21" s="22"/>
      <c r="B21" s="82" t="s">
        <v>14</v>
      </c>
      <c r="C21" s="34">
        <f>1914377-367404-385</f>
        <v>1546588</v>
      </c>
      <c r="D21" s="34">
        <f>1844651+367404</f>
        <v>2212055</v>
      </c>
      <c r="E21" s="79">
        <v>27190</v>
      </c>
      <c r="F21" s="34">
        <v>9072</v>
      </c>
      <c r="G21" s="34">
        <v>3602</v>
      </c>
      <c r="H21" s="80">
        <v>24187</v>
      </c>
      <c r="I21" s="35">
        <f t="shared" si="1"/>
        <v>3822694</v>
      </c>
      <c r="J21" s="84">
        <v>1730026.25</v>
      </c>
    </row>
    <row r="22" spans="1:25" ht="15" customHeight="1">
      <c r="A22" s="173" t="s">
        <v>15</v>
      </c>
      <c r="B22" s="173"/>
      <c r="C22" s="34">
        <v>226550</v>
      </c>
      <c r="D22" s="34">
        <v>10284</v>
      </c>
      <c r="E22" s="79">
        <v>170590</v>
      </c>
      <c r="F22" s="34"/>
      <c r="G22" s="34"/>
      <c r="H22" s="85">
        <v>8000</v>
      </c>
      <c r="I22" s="35">
        <f t="shared" si="1"/>
        <v>415424</v>
      </c>
      <c r="J22" s="84">
        <v>142385.42000000001</v>
      </c>
    </row>
    <row r="23" spans="1:25" ht="12.75" customHeight="1">
      <c r="A23" s="173" t="s">
        <v>16</v>
      </c>
      <c r="B23" s="173"/>
      <c r="C23" s="34"/>
      <c r="D23" s="34"/>
      <c r="E23" s="79"/>
      <c r="F23" s="34"/>
      <c r="G23" s="34"/>
      <c r="H23" s="34"/>
      <c r="I23" s="35"/>
      <c r="J23" s="84"/>
    </row>
    <row r="24" spans="1:25" ht="15" customHeight="1">
      <c r="A24" s="21"/>
      <c r="B24" s="86" t="s">
        <v>17</v>
      </c>
      <c r="C24" s="34">
        <f>5362213+399581+32092+24154+320-35000</f>
        <v>5783360</v>
      </c>
      <c r="D24" s="34">
        <f>443612+32150</f>
        <v>475762</v>
      </c>
      <c r="E24" s="79">
        <f>315232+22964</f>
        <v>338196</v>
      </c>
      <c r="F24" s="34">
        <f>215442+16075</f>
        <v>231517</v>
      </c>
      <c r="G24" s="34">
        <f>226730+16075</f>
        <v>242805</v>
      </c>
      <c r="H24" s="34">
        <f>518600+36743</f>
        <v>555343</v>
      </c>
      <c r="I24" s="35">
        <f>SUM(C24:H24)</f>
        <v>7626983</v>
      </c>
      <c r="J24" s="84">
        <v>3447637.83</v>
      </c>
    </row>
    <row r="25" spans="1:25" ht="15" customHeight="1">
      <c r="A25" s="21"/>
      <c r="B25" s="86" t="s">
        <v>18</v>
      </c>
      <c r="C25" s="34">
        <f>1495345+141227+10724+11490</f>
        <v>1658786</v>
      </c>
      <c r="D25" s="34">
        <f>143359+11363</f>
        <v>154722</v>
      </c>
      <c r="E25" s="79">
        <f>103214+8116</f>
        <v>111330</v>
      </c>
      <c r="F25" s="34">
        <f>70160+5682</f>
        <v>75842</v>
      </c>
      <c r="G25" s="34">
        <f>74250+5682</f>
        <v>79932</v>
      </c>
      <c r="H25" s="34">
        <f>167483+12986</f>
        <v>180469</v>
      </c>
      <c r="I25" s="35">
        <f t="shared" ref="I25:I39" si="2">SUM(C25:H25)</f>
        <v>2261081</v>
      </c>
      <c r="J25" s="84">
        <v>1128834.33</v>
      </c>
    </row>
    <row r="26" spans="1:25" ht="15" customHeight="1">
      <c r="A26" s="21"/>
      <c r="B26" s="86" t="s">
        <v>19</v>
      </c>
      <c r="C26" s="117">
        <f>388410+16077+3500</f>
        <v>407987</v>
      </c>
      <c r="D26" s="34">
        <f>33474+1293</f>
        <v>34767</v>
      </c>
      <c r="E26" s="79">
        <f>23253+924</f>
        <v>24177</v>
      </c>
      <c r="F26" s="34">
        <f>15954+647</f>
        <v>16601</v>
      </c>
      <c r="G26" s="34">
        <f>16189+647</f>
        <v>16836</v>
      </c>
      <c r="H26" s="34">
        <f>38402+1478</f>
        <v>39880</v>
      </c>
      <c r="I26" s="35">
        <f t="shared" si="2"/>
        <v>540248</v>
      </c>
      <c r="J26" s="84">
        <v>226833.64</v>
      </c>
    </row>
    <row r="27" spans="1:25" ht="15" customHeight="1">
      <c r="A27" s="21"/>
      <c r="B27" s="86" t="s">
        <v>20</v>
      </c>
      <c r="C27" s="34"/>
      <c r="D27" s="34"/>
      <c r="E27" s="34"/>
      <c r="F27" s="34"/>
      <c r="G27" s="34"/>
      <c r="H27" s="34"/>
      <c r="I27" s="35">
        <f t="shared" si="2"/>
        <v>0</v>
      </c>
      <c r="J27" s="84"/>
    </row>
    <row r="28" spans="1:25" ht="15" customHeight="1">
      <c r="A28" s="21"/>
      <c r="B28" s="86" t="s">
        <v>21</v>
      </c>
      <c r="C28" s="34">
        <f>251702+17038+35000+231350</f>
        <v>535090</v>
      </c>
      <c r="D28" s="34">
        <f>18630+1371+36500</f>
        <v>56501</v>
      </c>
      <c r="E28" s="79">
        <f>15620+979+16450</f>
        <v>33049</v>
      </c>
      <c r="F28" s="34">
        <f>9620+685+13600</f>
        <v>23905</v>
      </c>
      <c r="G28" s="34">
        <f>11620+685+5400</f>
        <v>17705</v>
      </c>
      <c r="H28" s="80">
        <f>16670+1567+16100</f>
        <v>34337</v>
      </c>
      <c r="I28" s="35">
        <f t="shared" si="2"/>
        <v>700587</v>
      </c>
      <c r="J28" s="87">
        <v>31687.5</v>
      </c>
      <c r="S28" s="16"/>
      <c r="T28" s="16"/>
      <c r="U28" s="16"/>
      <c r="V28" s="16"/>
      <c r="W28" s="16"/>
      <c r="X28" s="16"/>
      <c r="Y28" s="16"/>
    </row>
    <row r="29" spans="1:25" ht="15" customHeight="1">
      <c r="A29" s="21"/>
      <c r="B29" s="42"/>
      <c r="C29" s="34"/>
      <c r="D29" s="34"/>
      <c r="E29" s="79"/>
      <c r="F29" s="34"/>
      <c r="G29" s="34"/>
      <c r="H29" s="80"/>
      <c r="I29" s="35"/>
      <c r="J29" s="87"/>
      <c r="K29" s="16"/>
      <c r="T29" s="16"/>
    </row>
    <row r="30" spans="1:25" ht="13.5" customHeight="1">
      <c r="A30" s="173" t="s">
        <v>22</v>
      </c>
      <c r="B30" s="173"/>
      <c r="C30" s="34"/>
      <c r="D30" s="34"/>
      <c r="E30" s="79"/>
      <c r="F30" s="34"/>
      <c r="G30" s="34"/>
      <c r="H30" s="80"/>
      <c r="I30" s="35">
        <f t="shared" si="2"/>
        <v>0</v>
      </c>
      <c r="J30" s="87"/>
      <c r="K30" s="16">
        <f>SUM(C24:C29)</f>
        <v>8385223</v>
      </c>
      <c r="L30" s="16">
        <f t="shared" ref="L30:P30" si="3">SUM(D24:D29)</f>
        <v>721752</v>
      </c>
      <c r="M30" s="16">
        <f>SUM(E24:E29)</f>
        <v>506752</v>
      </c>
      <c r="N30" s="16">
        <f t="shared" si="3"/>
        <v>347865</v>
      </c>
      <c r="O30" s="16">
        <f t="shared" si="3"/>
        <v>357278</v>
      </c>
      <c r="P30" s="16">
        <f t="shared" si="3"/>
        <v>810029</v>
      </c>
    </row>
    <row r="31" spans="1:25" ht="12" customHeight="1">
      <c r="A31" s="27"/>
      <c r="B31" s="86" t="s">
        <v>23</v>
      </c>
      <c r="C31" s="28">
        <v>11076</v>
      </c>
      <c r="D31" s="28">
        <f>170289.85+1749</f>
        <v>172038.85</v>
      </c>
      <c r="E31" s="88">
        <f>15899.3+788</f>
        <v>16687.3</v>
      </c>
      <c r="F31" s="28">
        <v>652</v>
      </c>
      <c r="G31" s="28">
        <v>259</v>
      </c>
      <c r="H31" s="89">
        <f>6578.06+772</f>
        <v>7350.06</v>
      </c>
      <c r="I31" s="35">
        <f t="shared" si="2"/>
        <v>208063.21</v>
      </c>
      <c r="J31" s="87">
        <v>416253.06</v>
      </c>
      <c r="K31" s="15">
        <v>5847996</v>
      </c>
      <c r="L31" s="15">
        <v>492821</v>
      </c>
      <c r="M31" s="15">
        <v>350551</v>
      </c>
      <c r="N31" s="15">
        <v>239553</v>
      </c>
      <c r="O31" s="15">
        <v>286022</v>
      </c>
      <c r="P31" s="15">
        <v>568575</v>
      </c>
    </row>
    <row r="32" spans="1:25" ht="12" customHeight="1">
      <c r="A32" s="27"/>
      <c r="B32" s="86" t="s">
        <v>24</v>
      </c>
      <c r="C32" s="28">
        <f>701647-1169</f>
        <v>700478</v>
      </c>
      <c r="D32" s="28">
        <v>10994</v>
      </c>
      <c r="E32" s="88">
        <v>3495</v>
      </c>
      <c r="F32" s="28">
        <v>9489</v>
      </c>
      <c r="G32" s="28">
        <v>3347</v>
      </c>
      <c r="H32" s="89">
        <f>3420+772</f>
        <v>4192</v>
      </c>
      <c r="I32" s="35">
        <f t="shared" si="2"/>
        <v>731995</v>
      </c>
      <c r="J32" s="87">
        <v>379094</v>
      </c>
      <c r="K32" s="16">
        <f>K30-K31</f>
        <v>2537227</v>
      </c>
      <c r="L32" s="16">
        <f t="shared" ref="L32:P32" si="4">L30-L31</f>
        <v>228931</v>
      </c>
      <c r="M32" s="16">
        <f t="shared" si="4"/>
        <v>156201</v>
      </c>
      <c r="N32" s="16">
        <f t="shared" si="4"/>
        <v>108312</v>
      </c>
      <c r="O32" s="16">
        <f t="shared" si="4"/>
        <v>71256</v>
      </c>
      <c r="P32" s="16">
        <f t="shared" si="4"/>
        <v>241454</v>
      </c>
    </row>
    <row r="33" spans="1:10" ht="14.25" customHeight="1">
      <c r="A33" s="27"/>
      <c r="B33" s="86" t="s">
        <v>25</v>
      </c>
      <c r="C33" s="28"/>
      <c r="D33" s="28"/>
      <c r="E33" s="88"/>
      <c r="F33" s="28"/>
      <c r="G33" s="28"/>
      <c r="H33" s="28"/>
      <c r="I33" s="35">
        <f t="shared" si="2"/>
        <v>0</v>
      </c>
      <c r="J33" s="87"/>
    </row>
    <row r="34" spans="1:10" ht="27" customHeight="1">
      <c r="A34" s="27"/>
      <c r="B34" s="90" t="s">
        <v>26</v>
      </c>
      <c r="C34" s="28"/>
      <c r="D34" s="28"/>
      <c r="E34" s="88"/>
      <c r="F34" s="28"/>
      <c r="G34" s="28"/>
      <c r="H34" s="28"/>
      <c r="I34" s="35">
        <f t="shared" si="2"/>
        <v>0</v>
      </c>
      <c r="J34" s="87"/>
    </row>
    <row r="35" spans="1:10" ht="24.75" customHeight="1">
      <c r="A35" s="173" t="s">
        <v>52</v>
      </c>
      <c r="B35" s="173"/>
      <c r="C35" s="34">
        <v>-17534</v>
      </c>
      <c r="D35" s="34">
        <v>-2766</v>
      </c>
      <c r="E35" s="79">
        <v>-1247</v>
      </c>
      <c r="F35" s="34">
        <v>-1031</v>
      </c>
      <c r="G35" s="34">
        <v>-409</v>
      </c>
      <c r="H35" s="34">
        <v>-1220</v>
      </c>
      <c r="I35" s="35">
        <f t="shared" si="2"/>
        <v>-24207</v>
      </c>
      <c r="J35" s="87"/>
    </row>
    <row r="36" spans="1:10" ht="13.5" customHeight="1">
      <c r="A36" s="173" t="s">
        <v>28</v>
      </c>
      <c r="B36" s="173"/>
      <c r="C36" s="34"/>
      <c r="D36" s="34">
        <v>723515</v>
      </c>
      <c r="E36" s="79"/>
      <c r="F36" s="34"/>
      <c r="G36" s="34"/>
      <c r="H36" s="34"/>
      <c r="I36" s="35">
        <f t="shared" si="2"/>
        <v>723515</v>
      </c>
      <c r="J36" s="87"/>
    </row>
    <row r="37" spans="1:10" ht="11.25" customHeight="1">
      <c r="A37" s="173" t="s">
        <v>29</v>
      </c>
      <c r="B37" s="173"/>
      <c r="C37" s="34"/>
      <c r="D37" s="34"/>
      <c r="E37" s="79"/>
      <c r="F37" s="34"/>
      <c r="G37" s="34"/>
      <c r="H37" s="34"/>
      <c r="I37" s="35">
        <f t="shared" si="2"/>
        <v>0</v>
      </c>
      <c r="J37" s="87"/>
    </row>
    <row r="38" spans="1:10" ht="12.75" customHeight="1">
      <c r="A38" s="173" t="s">
        <v>30</v>
      </c>
      <c r="B38" s="173"/>
      <c r="C38" s="34">
        <v>86823</v>
      </c>
      <c r="D38" s="34">
        <v>13698</v>
      </c>
      <c r="E38" s="79">
        <v>6173</v>
      </c>
      <c r="F38" s="34">
        <v>5104</v>
      </c>
      <c r="G38" s="34">
        <v>2027</v>
      </c>
      <c r="H38" s="91">
        <v>6042</v>
      </c>
      <c r="I38" s="35">
        <f t="shared" si="2"/>
        <v>119867</v>
      </c>
      <c r="J38" s="92">
        <v>99881.25</v>
      </c>
    </row>
    <row r="39" spans="1:10" ht="15" customHeight="1">
      <c r="A39" s="172" t="s">
        <v>31</v>
      </c>
      <c r="B39" s="172"/>
      <c r="C39" s="3">
        <f>SUM(C12:C38)</f>
        <v>12613083.1</v>
      </c>
      <c r="D39" s="3">
        <f>SUM(D12:D38)</f>
        <v>4066478.85</v>
      </c>
      <c r="E39" s="3">
        <f t="shared" ref="E39:H39" si="5">SUM(E12:E38)</f>
        <v>807327.3</v>
      </c>
      <c r="F39" s="3">
        <f t="shared" si="5"/>
        <v>423322.46</v>
      </c>
      <c r="G39" s="3">
        <f t="shared" si="5"/>
        <v>405090.53</v>
      </c>
      <c r="H39" s="3">
        <f t="shared" si="5"/>
        <v>906424.06</v>
      </c>
      <c r="I39" s="11">
        <f t="shared" si="2"/>
        <v>19221726.300000001</v>
      </c>
      <c r="J39" s="5">
        <f>SUM(J12:J38)</f>
        <v>8411114.9499999993</v>
      </c>
    </row>
    <row r="40" spans="1:10" ht="15" customHeight="1">
      <c r="A40" s="172" t="s">
        <v>32</v>
      </c>
      <c r="B40" s="172"/>
      <c r="C40" s="67">
        <f t="shared" ref="C40:J40" si="6">C10-C39</f>
        <v>1269065.67</v>
      </c>
      <c r="D40" s="67">
        <f t="shared" si="6"/>
        <v>-852360.85000000009</v>
      </c>
      <c r="E40" s="93">
        <f t="shared" si="6"/>
        <v>149880.19999999995</v>
      </c>
      <c r="F40" s="67">
        <f t="shared" si="6"/>
        <v>315455.53999999998</v>
      </c>
      <c r="G40" s="67">
        <f t="shared" si="6"/>
        <v>-111465.53000000003</v>
      </c>
      <c r="H40" s="3">
        <f t="shared" si="6"/>
        <v>30105.939999999944</v>
      </c>
      <c r="I40" s="11">
        <f t="shared" si="6"/>
        <v>800680.96999999881</v>
      </c>
      <c r="J40" s="5">
        <f t="shared" si="6"/>
        <v>757378.3900000006</v>
      </c>
    </row>
    <row r="41" spans="1:10" ht="12.75" customHeight="1">
      <c r="A41" s="172" t="s">
        <v>33</v>
      </c>
      <c r="B41" s="172"/>
      <c r="C41" s="3"/>
      <c r="D41" s="3"/>
      <c r="E41" s="1"/>
      <c r="F41" s="3"/>
      <c r="G41" s="3"/>
      <c r="H41" s="93"/>
      <c r="I41" s="2">
        <f>SUM(C41:H41)</f>
        <v>0</v>
      </c>
      <c r="J41" s="43"/>
    </row>
    <row r="42" spans="1:10" ht="13.5" customHeight="1">
      <c r="A42" s="173" t="s">
        <v>34</v>
      </c>
      <c r="B42" s="173"/>
      <c r="C42" s="39"/>
      <c r="D42" s="39"/>
      <c r="E42" s="94"/>
      <c r="F42" s="94"/>
      <c r="G42" s="39"/>
      <c r="H42" s="39"/>
      <c r="I42" s="67">
        <v>0</v>
      </c>
      <c r="J42" s="95"/>
    </row>
    <row r="43" spans="1:10" ht="12.75" customHeight="1">
      <c r="A43" s="173" t="s">
        <v>36</v>
      </c>
      <c r="B43" s="173"/>
      <c r="C43" s="34">
        <v>84</v>
      </c>
      <c r="D43" s="34"/>
      <c r="E43" s="94"/>
      <c r="F43" s="94"/>
      <c r="G43" s="34"/>
      <c r="H43" s="34"/>
      <c r="I43" s="71">
        <f>SUM(C43:H43)</f>
        <v>84</v>
      </c>
      <c r="J43" s="84"/>
    </row>
    <row r="44" spans="1:10" ht="12.75" customHeight="1">
      <c r="A44" s="173" t="s">
        <v>37</v>
      </c>
      <c r="B44" s="173"/>
      <c r="C44" s="34"/>
      <c r="D44" s="34"/>
      <c r="E44" s="94"/>
      <c r="F44" s="94"/>
      <c r="G44" s="34"/>
      <c r="H44" s="34"/>
      <c r="I44" s="71">
        <v>0</v>
      </c>
      <c r="J44" s="84"/>
    </row>
    <row r="45" spans="1:10" ht="13.5" customHeight="1">
      <c r="A45" s="21"/>
      <c r="B45" s="29" t="s">
        <v>38</v>
      </c>
      <c r="C45" s="71">
        <f>225812+84</f>
        <v>225896</v>
      </c>
      <c r="D45" s="71">
        <v>35626</v>
      </c>
      <c r="E45" s="96">
        <v>16056</v>
      </c>
      <c r="F45" s="96">
        <v>13274</v>
      </c>
      <c r="G45" s="71">
        <v>5271</v>
      </c>
      <c r="H45" s="97">
        <v>15715</v>
      </c>
      <c r="I45" s="71">
        <f>SUM(C45:H45)</f>
        <v>311838</v>
      </c>
      <c r="J45" s="87">
        <v>176967.92</v>
      </c>
    </row>
    <row r="46" spans="1:10" ht="12.75" customHeight="1">
      <c r="A46" s="21"/>
      <c r="B46" s="29" t="s">
        <v>39</v>
      </c>
      <c r="C46" s="71"/>
      <c r="D46" s="71"/>
      <c r="E46" s="119"/>
      <c r="F46" s="96"/>
      <c r="G46" s="71"/>
      <c r="H46" s="97"/>
      <c r="I46" s="71">
        <f>SUM(C46:H46)</f>
        <v>0</v>
      </c>
      <c r="J46" s="87">
        <v>9279.58</v>
      </c>
    </row>
    <row r="47" spans="1:10" ht="12.75" customHeight="1">
      <c r="A47" s="21"/>
      <c r="B47" s="30" t="s">
        <v>35</v>
      </c>
      <c r="C47" s="34"/>
      <c r="D47" s="34"/>
      <c r="E47" s="94"/>
      <c r="F47" s="94"/>
      <c r="G47" s="34"/>
      <c r="H47" s="34"/>
      <c r="I47" s="71">
        <v>0</v>
      </c>
      <c r="J47" s="87"/>
    </row>
    <row r="48" spans="1:10">
      <c r="A48" s="173" t="s">
        <v>40</v>
      </c>
      <c r="B48" s="173"/>
      <c r="C48" s="34"/>
      <c r="D48" s="34"/>
      <c r="E48" s="94"/>
      <c r="F48" s="94"/>
      <c r="G48" s="34"/>
      <c r="H48" s="18"/>
      <c r="I48" s="71">
        <v>0</v>
      </c>
      <c r="J48" s="98"/>
    </row>
    <row r="49" spans="1:10">
      <c r="A49" s="172" t="s">
        <v>41</v>
      </c>
      <c r="B49" s="172"/>
      <c r="C49" s="7">
        <f t="shared" ref="C49:H49" si="7">SUM(C45:C48)</f>
        <v>225896</v>
      </c>
      <c r="D49" s="7">
        <f t="shared" si="7"/>
        <v>35626</v>
      </c>
      <c r="E49" s="8">
        <f t="shared" si="7"/>
        <v>16056</v>
      </c>
      <c r="F49" s="8">
        <f t="shared" si="7"/>
        <v>13274</v>
      </c>
      <c r="G49" s="7">
        <f t="shared" si="7"/>
        <v>5271</v>
      </c>
      <c r="H49" s="14">
        <f t="shared" si="7"/>
        <v>15715</v>
      </c>
      <c r="I49" s="7">
        <f>I45+I46-I43</f>
        <v>311754</v>
      </c>
      <c r="J49" s="10">
        <f>J45+J46</f>
        <v>186247.5</v>
      </c>
    </row>
    <row r="50" spans="1:10">
      <c r="A50" s="172" t="s">
        <v>42</v>
      </c>
      <c r="B50" s="172"/>
      <c r="C50" s="3"/>
      <c r="D50" s="3"/>
      <c r="E50" s="1"/>
      <c r="F50" s="1"/>
      <c r="G50" s="3"/>
      <c r="H50" s="93"/>
      <c r="I50" s="3"/>
      <c r="J50" s="43"/>
    </row>
    <row r="51" spans="1:10" ht="12" customHeight="1">
      <c r="A51" s="173" t="s">
        <v>43</v>
      </c>
      <c r="B51" s="173"/>
      <c r="C51" s="39"/>
      <c r="D51" s="94"/>
      <c r="E51" s="39"/>
      <c r="F51" s="39"/>
      <c r="G51" s="94"/>
      <c r="H51" s="39"/>
      <c r="I51" s="35">
        <v>0</v>
      </c>
      <c r="J51" s="95"/>
    </row>
    <row r="52" spans="1:10" ht="13.5" customHeight="1">
      <c r="A52" s="173" t="s">
        <v>44</v>
      </c>
      <c r="B52" s="173"/>
      <c r="C52" s="34"/>
      <c r="D52" s="94"/>
      <c r="E52" s="34"/>
      <c r="F52" s="34"/>
      <c r="G52" s="94"/>
      <c r="H52" s="34"/>
      <c r="I52" s="35">
        <v>0</v>
      </c>
      <c r="J52" s="98"/>
    </row>
    <row r="53" spans="1:10">
      <c r="A53" s="172" t="s">
        <v>45</v>
      </c>
      <c r="B53" s="172"/>
      <c r="C53" s="3"/>
      <c r="D53" s="1"/>
      <c r="E53" s="3"/>
      <c r="F53" s="3"/>
      <c r="G53" s="1"/>
      <c r="H53" s="3"/>
      <c r="I53" s="2">
        <v>0</v>
      </c>
      <c r="J53" s="99"/>
    </row>
    <row r="54" spans="1:10">
      <c r="A54" s="172" t="s">
        <v>46</v>
      </c>
      <c r="B54" s="172"/>
      <c r="C54" s="120">
        <f t="shared" ref="C54:J54" si="8">C40-C49</f>
        <v>1043169.6699999999</v>
      </c>
      <c r="D54" s="123">
        <f t="shared" si="8"/>
        <v>-887986.85000000009</v>
      </c>
      <c r="E54" s="120">
        <f t="shared" si="8"/>
        <v>133824.19999999995</v>
      </c>
      <c r="F54" s="120">
        <f t="shared" si="8"/>
        <v>302181.53999999998</v>
      </c>
      <c r="G54" s="123">
        <f t="shared" si="8"/>
        <v>-116736.53000000003</v>
      </c>
      <c r="H54" s="121">
        <f t="shared" si="8"/>
        <v>14390.939999999944</v>
      </c>
      <c r="I54" s="122">
        <f t="shared" si="8"/>
        <v>488926.96999999881</v>
      </c>
      <c r="J54" s="5">
        <f t="shared" si="8"/>
        <v>571130.8900000006</v>
      </c>
    </row>
    <row r="55" spans="1:10" ht="15" customHeight="1">
      <c r="A55" s="170" t="s">
        <v>47</v>
      </c>
      <c r="B55" s="171"/>
      <c r="C55" s="39"/>
      <c r="D55" s="100"/>
      <c r="E55" s="39"/>
      <c r="F55" s="39"/>
      <c r="G55" s="100"/>
      <c r="H55" s="39"/>
      <c r="I55" s="78"/>
      <c r="J55" s="95"/>
    </row>
    <row r="56" spans="1:10" ht="14.25" customHeight="1">
      <c r="A56" s="21"/>
      <c r="B56" s="31" t="s">
        <v>48</v>
      </c>
      <c r="C56" s="34"/>
      <c r="D56" s="94"/>
      <c r="E56" s="34"/>
      <c r="F56" s="34"/>
      <c r="G56" s="94"/>
      <c r="H56" s="34"/>
      <c r="I56" s="35">
        <f>SUM(C56:H56)</f>
        <v>0</v>
      </c>
      <c r="J56" s="98"/>
    </row>
    <row r="57" spans="1:10">
      <c r="A57" s="172" t="s">
        <v>49</v>
      </c>
      <c r="B57" s="172"/>
      <c r="C57" s="3">
        <f t="shared" ref="C57:I57" si="9">C54-C56</f>
        <v>1043169.6699999999</v>
      </c>
      <c r="D57" s="3">
        <f t="shared" si="9"/>
        <v>-887986.85000000009</v>
      </c>
      <c r="E57" s="3">
        <f t="shared" si="9"/>
        <v>133824.19999999995</v>
      </c>
      <c r="F57" s="3">
        <f t="shared" si="9"/>
        <v>302181.53999999998</v>
      </c>
      <c r="G57" s="3">
        <f t="shared" si="9"/>
        <v>-116736.53000000003</v>
      </c>
      <c r="H57" s="3">
        <f t="shared" si="9"/>
        <v>14390.939999999944</v>
      </c>
      <c r="I57" s="3">
        <f t="shared" si="9"/>
        <v>488926.96999999881</v>
      </c>
      <c r="J57" s="5">
        <f>J54</f>
        <v>571130.8900000006</v>
      </c>
    </row>
    <row r="58" spans="1:10">
      <c r="A58" s="101"/>
      <c r="B58" s="101"/>
      <c r="I58" s="16"/>
      <c r="J58" s="43"/>
    </row>
    <row r="59" spans="1:10">
      <c r="A59" s="101"/>
      <c r="B59" s="101"/>
      <c r="D59" s="25"/>
      <c r="J59" s="43"/>
    </row>
    <row r="60" spans="1:10">
      <c r="E60" s="16"/>
      <c r="I60" s="16"/>
    </row>
    <row r="61" spans="1:10">
      <c r="D61" s="16"/>
      <c r="E61" s="25"/>
      <c r="F61" s="25"/>
      <c r="G61" s="25"/>
    </row>
    <row r="62" spans="1:10">
      <c r="D62" s="16"/>
      <c r="E62" s="25"/>
      <c r="F62" s="25"/>
      <c r="G62" s="25"/>
    </row>
    <row r="63" spans="1:10">
      <c r="D63" s="16"/>
      <c r="E63" s="25"/>
      <c r="F63" s="25"/>
      <c r="G63" s="25"/>
    </row>
    <row r="64" spans="1:10">
      <c r="D64" s="16"/>
      <c r="E64" s="25"/>
      <c r="F64" s="25"/>
      <c r="G64" s="25"/>
    </row>
    <row r="65" spans="4:7">
      <c r="D65" s="16"/>
      <c r="E65" s="25"/>
      <c r="F65" s="25"/>
      <c r="G65" s="25"/>
    </row>
  </sheetData>
  <mergeCells count="41">
    <mergeCell ref="A8:B8"/>
    <mergeCell ref="C1:I1"/>
    <mergeCell ref="C2:I2"/>
    <mergeCell ref="A4:B5"/>
    <mergeCell ref="A6:B6"/>
    <mergeCell ref="A7:B7"/>
    <mergeCell ref="C3:I3"/>
    <mergeCell ref="A49:B49"/>
    <mergeCell ref="A50:B50"/>
    <mergeCell ref="A51:B51"/>
    <mergeCell ref="A40:B40"/>
    <mergeCell ref="A41:B41"/>
    <mergeCell ref="A42:B42"/>
    <mergeCell ref="A43:B43"/>
    <mergeCell ref="A44:B44"/>
    <mergeCell ref="A48:B48"/>
    <mergeCell ref="A39:B39"/>
    <mergeCell ref="A10:B10"/>
    <mergeCell ref="A11:B11"/>
    <mergeCell ref="A12:B12"/>
    <mergeCell ref="A13:B13"/>
    <mergeCell ref="A22:B22"/>
    <mergeCell ref="A23:B23"/>
    <mergeCell ref="A30:B30"/>
    <mergeCell ref="A35:B35"/>
    <mergeCell ref="A36:B36"/>
    <mergeCell ref="A37:B37"/>
    <mergeCell ref="A38:B38"/>
    <mergeCell ref="A55:B55"/>
    <mergeCell ref="A57:B57"/>
    <mergeCell ref="A52:B52"/>
    <mergeCell ref="A53:B53"/>
    <mergeCell ref="A54:B54"/>
    <mergeCell ref="J4:J5"/>
    <mergeCell ref="C4:C5"/>
    <mergeCell ref="D4:D5"/>
    <mergeCell ref="E4:E5"/>
    <mergeCell ref="F4:F5"/>
    <mergeCell ref="G4:G5"/>
    <mergeCell ref="H4:H5"/>
    <mergeCell ref="I4:I5"/>
  </mergeCells>
  <pageMargins left="0.15748031496062992" right="0.19685039370078741" top="0.15748031496062992" bottom="0.19685039370078741" header="0.56999999999999995" footer="0.19685039370078741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160020</xdr:colOff>
                <xdr:row>0</xdr:row>
                <xdr:rowOff>60960</xdr:rowOff>
              </from>
              <to>
                <xdr:col>1</xdr:col>
                <xdr:colOff>731520</xdr:colOff>
                <xdr:row>2</xdr:row>
                <xdr:rowOff>99060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9"/>
  <sheetViews>
    <sheetView tabSelected="1" topLeftCell="A34" workbookViewId="0">
      <selection activeCell="D21" sqref="D21"/>
    </sheetView>
  </sheetViews>
  <sheetFormatPr defaultColWidth="9.109375" defaultRowHeight="14.4"/>
  <cols>
    <col min="1" max="1" width="3.44140625" style="15" customWidth="1"/>
    <col min="2" max="2" width="67.33203125" style="15" customWidth="1"/>
    <col min="3" max="3" width="13.88671875" style="15" customWidth="1"/>
    <col min="4" max="4" width="13.6640625" style="15" customWidth="1"/>
    <col min="5" max="5" width="12" style="15" customWidth="1"/>
    <col min="6" max="6" width="11.6640625" style="15" customWidth="1"/>
    <col min="7" max="7" width="12.6640625" style="15" customWidth="1"/>
    <col min="8" max="8" width="17.33203125" style="15" customWidth="1"/>
    <col min="9" max="9" width="14.109375" style="15" customWidth="1"/>
    <col min="10" max="10" width="1.109375" style="25" hidden="1" customWidth="1"/>
    <col min="11" max="11" width="12.44140625" style="15" customWidth="1"/>
    <col min="12" max="12" width="13.33203125" style="15" customWidth="1"/>
    <col min="13" max="13" width="12.6640625" style="15" customWidth="1"/>
    <col min="14" max="14" width="10.88671875" style="15" customWidth="1"/>
    <col min="15" max="15" width="12.88671875" style="15" customWidth="1"/>
    <col min="16" max="16" width="12" style="15" customWidth="1"/>
    <col min="17" max="17" width="11.109375" style="15" customWidth="1"/>
    <col min="18" max="16384" width="9.109375" style="15"/>
  </cols>
  <sheetData>
    <row r="1" spans="1:12">
      <c r="A1" s="129"/>
      <c r="B1" s="132"/>
      <c r="C1" s="163" t="s">
        <v>75</v>
      </c>
      <c r="D1" s="164"/>
      <c r="E1" s="164"/>
      <c r="F1" s="164"/>
      <c r="G1" s="164"/>
      <c r="H1" s="164"/>
      <c r="I1" s="165"/>
    </row>
    <row r="2" spans="1:12" ht="24.6" customHeight="1">
      <c r="A2" s="129"/>
      <c r="B2" s="130"/>
      <c r="C2" s="181" t="s">
        <v>50</v>
      </c>
      <c r="D2" s="181"/>
      <c r="E2" s="181"/>
      <c r="F2" s="181"/>
      <c r="G2" s="181"/>
      <c r="H2" s="181"/>
      <c r="I2" s="181"/>
    </row>
    <row r="3" spans="1:12" ht="21" customHeight="1">
      <c r="A3" s="129"/>
      <c r="B3" s="130"/>
      <c r="C3" s="163" t="s">
        <v>72</v>
      </c>
      <c r="D3" s="164"/>
      <c r="E3" s="164"/>
      <c r="F3" s="164"/>
      <c r="G3" s="164"/>
      <c r="H3" s="164"/>
      <c r="I3" s="165"/>
    </row>
    <row r="4" spans="1:12" ht="15" customHeight="1">
      <c r="A4" s="175"/>
      <c r="B4" s="175"/>
      <c r="C4" s="141" t="s">
        <v>63</v>
      </c>
      <c r="D4" s="141" t="s">
        <v>64</v>
      </c>
      <c r="E4" s="141" t="s">
        <v>65</v>
      </c>
      <c r="F4" s="141" t="s">
        <v>66</v>
      </c>
      <c r="G4" s="141" t="s">
        <v>67</v>
      </c>
      <c r="H4" s="141" t="s">
        <v>68</v>
      </c>
      <c r="I4" s="141" t="s">
        <v>0</v>
      </c>
      <c r="J4" s="166" t="s">
        <v>53</v>
      </c>
    </row>
    <row r="5" spans="1:12" ht="9" customHeight="1">
      <c r="A5" s="175"/>
      <c r="B5" s="175"/>
      <c r="C5" s="178"/>
      <c r="D5" s="178"/>
      <c r="E5" s="179"/>
      <c r="F5" s="178"/>
      <c r="G5" s="178"/>
      <c r="H5" s="179"/>
      <c r="I5" s="182"/>
      <c r="J5" s="167"/>
    </row>
    <row r="6" spans="1:12" ht="27" customHeight="1">
      <c r="A6" s="158" t="s">
        <v>1</v>
      </c>
      <c r="B6" s="158"/>
      <c r="C6" s="136"/>
      <c r="D6" s="136"/>
      <c r="E6" s="136"/>
      <c r="F6" s="136"/>
      <c r="G6" s="136"/>
      <c r="H6" s="136"/>
      <c r="I6" s="136"/>
    </row>
    <row r="7" spans="1:12" ht="18" customHeight="1">
      <c r="A7" s="170" t="s">
        <v>2</v>
      </c>
      <c r="B7" s="171"/>
      <c r="C7" s="34">
        <f>1180169+15976-2</f>
        <v>1196143</v>
      </c>
      <c r="D7" s="94">
        <v>484828</v>
      </c>
      <c r="E7" s="34">
        <v>203585</v>
      </c>
      <c r="F7" s="94">
        <v>31406</v>
      </c>
      <c r="G7" s="94">
        <v>207670</v>
      </c>
      <c r="H7" s="34">
        <v>101453</v>
      </c>
      <c r="I7" s="35">
        <f>SUM(C7:H7)</f>
        <v>2225085</v>
      </c>
      <c r="J7" s="72">
        <v>1745492.41</v>
      </c>
    </row>
    <row r="8" spans="1:12" ht="14.25" customHeight="1">
      <c r="A8" s="174" t="s">
        <v>3</v>
      </c>
      <c r="B8" s="174"/>
      <c r="C8" s="34"/>
      <c r="D8" s="94"/>
      <c r="E8" s="34"/>
      <c r="F8" s="94"/>
      <c r="G8" s="94"/>
      <c r="H8" s="34"/>
      <c r="I8" s="35">
        <v>0</v>
      </c>
      <c r="J8" s="72"/>
    </row>
    <row r="9" spans="1:12" ht="12" customHeight="1">
      <c r="A9" s="21"/>
      <c r="B9" s="31" t="s">
        <v>4</v>
      </c>
      <c r="C9" s="34">
        <v>46646</v>
      </c>
      <c r="D9" s="94">
        <v>18944</v>
      </c>
      <c r="E9" s="34">
        <v>7944</v>
      </c>
      <c r="F9" s="94">
        <v>1222</v>
      </c>
      <c r="G9" s="94">
        <v>8046</v>
      </c>
      <c r="H9" s="34">
        <v>3972</v>
      </c>
      <c r="I9" s="35">
        <f>SUM(C9:H9)</f>
        <v>86774</v>
      </c>
      <c r="J9" s="74"/>
    </row>
    <row r="10" spans="1:12" ht="15.75" customHeight="1">
      <c r="A10" s="172" t="s">
        <v>5</v>
      </c>
      <c r="B10" s="172"/>
      <c r="C10" s="3">
        <f t="shared" ref="C10:H10" si="0">SUM(C7:C9)</f>
        <v>1242789</v>
      </c>
      <c r="D10" s="1">
        <f t="shared" si="0"/>
        <v>503772</v>
      </c>
      <c r="E10" s="3">
        <f t="shared" si="0"/>
        <v>211529</v>
      </c>
      <c r="F10" s="1">
        <f t="shared" si="0"/>
        <v>32628</v>
      </c>
      <c r="G10" s="1">
        <f t="shared" si="0"/>
        <v>215716</v>
      </c>
      <c r="H10" s="3">
        <f t="shared" si="0"/>
        <v>105425</v>
      </c>
      <c r="I10" s="2">
        <f>SUM(I7:I9)</f>
        <v>2311859</v>
      </c>
      <c r="J10" s="74">
        <f>J9+J7</f>
        <v>1745492.41</v>
      </c>
    </row>
    <row r="11" spans="1:12" ht="13.5" customHeight="1">
      <c r="A11" s="172" t="s">
        <v>6</v>
      </c>
      <c r="B11" s="172"/>
      <c r="C11" s="19"/>
      <c r="D11" s="20"/>
      <c r="E11" s="19"/>
      <c r="F11" s="20"/>
      <c r="G11" s="20"/>
      <c r="H11" s="19"/>
      <c r="I11" s="33"/>
    </row>
    <row r="12" spans="1:12" ht="17.25" customHeight="1">
      <c r="A12" s="174" t="s">
        <v>7</v>
      </c>
      <c r="B12" s="174"/>
      <c r="C12" s="34">
        <v>34433</v>
      </c>
      <c r="D12" s="39">
        <v>16798</v>
      </c>
      <c r="E12" s="102">
        <v>7660</v>
      </c>
      <c r="F12" s="94">
        <v>1582</v>
      </c>
      <c r="G12" s="94">
        <v>3622</v>
      </c>
      <c r="H12" s="34">
        <v>2152</v>
      </c>
      <c r="I12" s="35">
        <f t="shared" ref="I12:I38" si="1">SUM(C12:H12)</f>
        <v>66247</v>
      </c>
      <c r="J12" s="72">
        <v>51468.75</v>
      </c>
      <c r="L12" s="25"/>
    </row>
    <row r="13" spans="1:12" ht="15" customHeight="1">
      <c r="A13" s="174" t="s">
        <v>8</v>
      </c>
      <c r="B13" s="174"/>
      <c r="C13" s="34"/>
      <c r="D13" s="34"/>
      <c r="E13" s="102"/>
      <c r="F13" s="94"/>
      <c r="G13" s="94"/>
      <c r="H13" s="34"/>
      <c r="I13" s="35">
        <f t="shared" si="1"/>
        <v>0</v>
      </c>
      <c r="J13" s="81"/>
      <c r="L13" s="25"/>
    </row>
    <row r="14" spans="1:12" ht="12.75" customHeight="1">
      <c r="A14" s="22"/>
      <c r="B14" s="82" t="s">
        <v>9</v>
      </c>
      <c r="C14" s="24"/>
      <c r="D14" s="24"/>
      <c r="E14" s="103"/>
      <c r="F14" s="104"/>
      <c r="G14" s="104"/>
      <c r="H14" s="24"/>
      <c r="I14" s="35">
        <f t="shared" si="1"/>
        <v>0</v>
      </c>
      <c r="J14" s="84"/>
      <c r="L14" s="43"/>
    </row>
    <row r="15" spans="1:12" ht="13.5" customHeight="1">
      <c r="A15" s="22"/>
      <c r="B15" s="82" t="s">
        <v>51</v>
      </c>
      <c r="C15" s="24">
        <v>1769</v>
      </c>
      <c r="D15" s="24">
        <v>10188</v>
      </c>
      <c r="E15" s="104">
        <v>427</v>
      </c>
      <c r="F15" s="104">
        <v>41</v>
      </c>
      <c r="G15" s="104">
        <v>273</v>
      </c>
      <c r="H15" s="24">
        <v>135</v>
      </c>
      <c r="I15" s="35">
        <f t="shared" si="1"/>
        <v>12833</v>
      </c>
      <c r="J15" s="84">
        <v>2036.67</v>
      </c>
      <c r="L15" s="43"/>
    </row>
    <row r="16" spans="1:12" ht="12" customHeight="1">
      <c r="A16" s="22"/>
      <c r="B16" s="82" t="s">
        <v>10</v>
      </c>
      <c r="C16" s="24">
        <v>20330</v>
      </c>
      <c r="D16" s="24">
        <v>8256</v>
      </c>
      <c r="E16" s="104">
        <v>3462</v>
      </c>
      <c r="F16" s="104">
        <v>533</v>
      </c>
      <c r="G16" s="104">
        <v>3507</v>
      </c>
      <c r="H16" s="24">
        <v>1731</v>
      </c>
      <c r="I16" s="35">
        <f t="shared" si="1"/>
        <v>37819</v>
      </c>
      <c r="J16" s="84">
        <v>16752.5</v>
      </c>
      <c r="L16" s="43"/>
    </row>
    <row r="17" spans="1:17" ht="15" customHeight="1">
      <c r="A17" s="22"/>
      <c r="B17" s="82" t="s">
        <v>11</v>
      </c>
      <c r="C17" s="24"/>
      <c r="D17" s="24"/>
      <c r="E17" s="104"/>
      <c r="F17" s="104"/>
      <c r="G17" s="104"/>
      <c r="H17" s="24"/>
      <c r="I17" s="35">
        <f t="shared" si="1"/>
        <v>0</v>
      </c>
      <c r="J17" s="84"/>
      <c r="L17" s="43"/>
    </row>
    <row r="18" spans="1:17" ht="9.75" customHeight="1">
      <c r="A18" s="22"/>
      <c r="B18" s="82" t="s">
        <v>12</v>
      </c>
      <c r="C18" s="24"/>
      <c r="D18" s="24"/>
      <c r="E18" s="104"/>
      <c r="F18" s="104"/>
      <c r="G18" s="104"/>
      <c r="H18" s="24"/>
      <c r="I18" s="35">
        <f t="shared" si="1"/>
        <v>0</v>
      </c>
      <c r="J18" s="84"/>
      <c r="L18" s="43"/>
    </row>
    <row r="19" spans="1:17" ht="14.25" customHeight="1">
      <c r="A19" s="22"/>
      <c r="B19" s="82" t="s">
        <v>13</v>
      </c>
      <c r="C19" s="24"/>
      <c r="D19" s="24"/>
      <c r="E19" s="104"/>
      <c r="F19" s="104"/>
      <c r="G19" s="104"/>
      <c r="H19" s="24"/>
      <c r="I19" s="35">
        <f t="shared" si="1"/>
        <v>0</v>
      </c>
      <c r="J19" s="84"/>
      <c r="L19" s="26"/>
    </row>
    <row r="20" spans="1:17" ht="14.25" customHeight="1">
      <c r="A20" s="22"/>
      <c r="B20" s="82" t="s">
        <v>70</v>
      </c>
      <c r="C20" s="24">
        <v>1389.68</v>
      </c>
      <c r="D20" s="24">
        <v>3178.48</v>
      </c>
      <c r="E20" s="104">
        <v>1318.62</v>
      </c>
      <c r="F20" s="104"/>
      <c r="G20" s="104"/>
      <c r="H20" s="24"/>
      <c r="I20" s="35">
        <f t="shared" si="1"/>
        <v>5886.78</v>
      </c>
      <c r="J20" s="84">
        <v>1666</v>
      </c>
    </row>
    <row r="21" spans="1:17" ht="12" customHeight="1">
      <c r="A21" s="22"/>
      <c r="B21" s="82" t="s">
        <v>14</v>
      </c>
      <c r="C21" s="24">
        <v>15276</v>
      </c>
      <c r="D21" s="24">
        <v>6204</v>
      </c>
      <c r="E21" s="103">
        <v>2602</v>
      </c>
      <c r="F21" s="104">
        <v>400</v>
      </c>
      <c r="G21" s="104">
        <v>2635</v>
      </c>
      <c r="H21" s="24">
        <v>1301</v>
      </c>
      <c r="I21" s="35">
        <f t="shared" si="1"/>
        <v>28418</v>
      </c>
      <c r="J21" s="84">
        <v>13510</v>
      </c>
      <c r="K21" s="43"/>
      <c r="L21" s="43"/>
      <c r="M21" s="26"/>
    </row>
    <row r="22" spans="1:17" ht="15.75" customHeight="1">
      <c r="A22" s="173" t="s">
        <v>15</v>
      </c>
      <c r="B22" s="173"/>
      <c r="C22" s="34"/>
      <c r="D22" s="34"/>
      <c r="E22" s="102"/>
      <c r="F22" s="94"/>
      <c r="G22" s="94"/>
      <c r="H22" s="34"/>
      <c r="I22" s="35">
        <f t="shared" si="1"/>
        <v>0</v>
      </c>
      <c r="J22" s="84">
        <v>3402.92</v>
      </c>
      <c r="K22" s="25"/>
      <c r="L22" s="25"/>
      <c r="M22" s="26"/>
    </row>
    <row r="23" spans="1:17" ht="12" customHeight="1">
      <c r="A23" s="173" t="s">
        <v>16</v>
      </c>
      <c r="B23" s="173"/>
      <c r="C23" s="34"/>
      <c r="D23" s="34"/>
      <c r="E23" s="102"/>
      <c r="F23" s="94"/>
      <c r="G23" s="94"/>
      <c r="H23" s="34"/>
      <c r="I23" s="35">
        <f t="shared" si="1"/>
        <v>0</v>
      </c>
      <c r="J23" s="84"/>
      <c r="K23" s="25"/>
      <c r="L23" s="25"/>
      <c r="M23" s="26"/>
    </row>
    <row r="24" spans="1:17" ht="15" customHeight="1">
      <c r="A24" s="21"/>
      <c r="B24" s="86" t="s">
        <v>17</v>
      </c>
      <c r="C24" s="34">
        <f>919434+96451+38599+53675</f>
        <v>1108159</v>
      </c>
      <c r="D24" s="34">
        <f>249929+27557</f>
        <v>277486</v>
      </c>
      <c r="E24" s="102">
        <f>96263+9186</f>
        <v>105449</v>
      </c>
      <c r="F24" s="94">
        <f>60885+6889</f>
        <v>67774</v>
      </c>
      <c r="G24" s="94">
        <f>136853+13779</f>
        <v>150632</v>
      </c>
      <c r="H24" s="34">
        <f>121770+13779</f>
        <v>135549</v>
      </c>
      <c r="I24" s="35">
        <f t="shared" si="1"/>
        <v>1845049</v>
      </c>
      <c r="J24" s="84">
        <v>1195450.24</v>
      </c>
      <c r="K24" s="25"/>
      <c r="L24" s="25"/>
      <c r="M24" s="26"/>
    </row>
    <row r="25" spans="1:17" ht="15" customHeight="1">
      <c r="A25" s="21"/>
      <c r="B25" s="86" t="s">
        <v>18</v>
      </c>
      <c r="C25" s="34">
        <f>216321+34089+13243+22384</f>
        <v>286037</v>
      </c>
      <c r="D25" s="34">
        <f>79280+9740</f>
        <v>89020</v>
      </c>
      <c r="E25" s="102">
        <f>36250+3247</f>
        <v>39497</v>
      </c>
      <c r="F25" s="94">
        <f>18374+2435</f>
        <v>20809</v>
      </c>
      <c r="G25" s="94">
        <f>41762+4870</f>
        <v>46632</v>
      </c>
      <c r="H25" s="34">
        <f>39598+4870</f>
        <v>44468</v>
      </c>
      <c r="I25" s="35">
        <f t="shared" si="1"/>
        <v>526463</v>
      </c>
      <c r="J25" s="84">
        <v>390613.19</v>
      </c>
      <c r="K25" s="25"/>
      <c r="L25" s="25"/>
      <c r="M25" s="26"/>
    </row>
    <row r="26" spans="1:17" ht="15" customHeight="1">
      <c r="A26" s="21"/>
      <c r="B26" s="86" t="s">
        <v>19</v>
      </c>
      <c r="C26" s="34">
        <f>69719+3881+2450+3150</f>
        <v>79200</v>
      </c>
      <c r="D26" s="34">
        <f>18016+1109</f>
        <v>19125</v>
      </c>
      <c r="E26" s="102">
        <f>7123+370</f>
        <v>7493</v>
      </c>
      <c r="F26" s="94">
        <f>4504+277</f>
        <v>4781</v>
      </c>
      <c r="G26" s="94">
        <f>10126+554</f>
        <v>10680</v>
      </c>
      <c r="H26" s="34">
        <f>9008+554</f>
        <v>9562</v>
      </c>
      <c r="I26" s="35">
        <f t="shared" si="1"/>
        <v>130841</v>
      </c>
      <c r="J26" s="84">
        <v>78667.41</v>
      </c>
      <c r="K26" s="25"/>
      <c r="L26" s="25"/>
      <c r="M26" s="26"/>
    </row>
    <row r="27" spans="1:17" ht="15" customHeight="1">
      <c r="A27" s="21"/>
      <c r="B27" s="86" t="s">
        <v>20</v>
      </c>
      <c r="C27" s="34"/>
      <c r="D27" s="34"/>
      <c r="E27" s="102"/>
      <c r="F27" s="94"/>
      <c r="G27" s="94"/>
      <c r="H27" s="34"/>
      <c r="I27" s="35">
        <f t="shared" si="1"/>
        <v>0</v>
      </c>
      <c r="J27" s="84"/>
      <c r="K27" s="25"/>
      <c r="L27" s="25"/>
      <c r="M27" s="26"/>
    </row>
    <row r="28" spans="1:17" ht="14.25" customHeight="1">
      <c r="A28" s="21"/>
      <c r="B28" s="86" t="s">
        <v>21</v>
      </c>
      <c r="C28" s="34">
        <f>60648+4113+22900</f>
        <v>87661</v>
      </c>
      <c r="D28" s="34">
        <f>12890+1175+9300</f>
        <v>23365</v>
      </c>
      <c r="E28" s="102">
        <f>22456+392+3900</f>
        <v>26748</v>
      </c>
      <c r="F28" s="94">
        <f>294+600</f>
        <v>894</v>
      </c>
      <c r="G28" s="94">
        <f>587+3950</f>
        <v>4537</v>
      </c>
      <c r="H28" s="34">
        <f>9502+587+1950</f>
        <v>12039</v>
      </c>
      <c r="I28" s="35">
        <f t="shared" si="1"/>
        <v>155244</v>
      </c>
      <c r="J28" s="87">
        <v>8677.08</v>
      </c>
      <c r="K28" s="124"/>
      <c r="L28" s="124"/>
      <c r="M28" s="124"/>
      <c r="N28" s="124"/>
      <c r="O28" s="124"/>
      <c r="P28" s="124"/>
      <c r="Q28" s="124"/>
    </row>
    <row r="29" spans="1:17" ht="4.5" customHeight="1">
      <c r="A29" s="21"/>
      <c r="B29" s="42"/>
      <c r="C29" s="34"/>
      <c r="D29" s="34"/>
      <c r="E29" s="102"/>
      <c r="F29" s="94"/>
      <c r="G29" s="94"/>
      <c r="H29" s="34"/>
      <c r="I29" s="35"/>
      <c r="J29" s="87"/>
      <c r="K29" s="124"/>
      <c r="L29" s="124"/>
      <c r="M29" s="125"/>
      <c r="N29" s="124"/>
      <c r="O29" s="124"/>
      <c r="P29" s="124"/>
    </row>
    <row r="30" spans="1:17" ht="18.75" customHeight="1">
      <c r="A30" s="173" t="s">
        <v>22</v>
      </c>
      <c r="B30" s="173"/>
      <c r="C30" s="34"/>
      <c r="D30" s="34"/>
      <c r="E30" s="102"/>
      <c r="F30" s="94"/>
      <c r="G30" s="94"/>
      <c r="H30" s="34"/>
      <c r="I30" s="35">
        <f t="shared" si="1"/>
        <v>0</v>
      </c>
      <c r="J30" s="87"/>
      <c r="K30" s="126"/>
      <c r="L30" s="126"/>
      <c r="M30" s="126"/>
      <c r="N30" s="126"/>
      <c r="O30" s="126"/>
      <c r="P30" s="126"/>
    </row>
    <row r="31" spans="1:17" ht="11.25" customHeight="1">
      <c r="A31" s="27"/>
      <c r="B31" s="86" t="s">
        <v>23</v>
      </c>
      <c r="C31" s="28">
        <v>1097</v>
      </c>
      <c r="D31" s="28">
        <v>446</v>
      </c>
      <c r="E31" s="105">
        <v>187</v>
      </c>
      <c r="F31" s="106">
        <v>29</v>
      </c>
      <c r="G31" s="106">
        <v>189</v>
      </c>
      <c r="H31" s="28">
        <v>93</v>
      </c>
      <c r="I31" s="35">
        <f t="shared" si="1"/>
        <v>2041</v>
      </c>
      <c r="J31" s="87">
        <v>1264.74</v>
      </c>
    </row>
    <row r="32" spans="1:17" ht="12.75" customHeight="1">
      <c r="A32" s="27"/>
      <c r="B32" s="86" t="s">
        <v>24</v>
      </c>
      <c r="C32" s="28">
        <v>4865</v>
      </c>
      <c r="D32" s="28">
        <v>1976</v>
      </c>
      <c r="E32" s="105">
        <v>829</v>
      </c>
      <c r="F32" s="106">
        <v>127</v>
      </c>
      <c r="G32" s="106">
        <v>839</v>
      </c>
      <c r="H32" s="28">
        <v>414</v>
      </c>
      <c r="I32" s="35">
        <f t="shared" si="1"/>
        <v>9050</v>
      </c>
      <c r="J32" s="87">
        <v>7193.51</v>
      </c>
    </row>
    <row r="33" spans="1:10" ht="12.75" customHeight="1">
      <c r="A33" s="27"/>
      <c r="B33" s="86" t="s">
        <v>25</v>
      </c>
      <c r="C33" s="28"/>
      <c r="D33" s="28"/>
      <c r="E33" s="105"/>
      <c r="F33" s="106"/>
      <c r="G33" s="106"/>
      <c r="H33" s="28"/>
      <c r="I33" s="35">
        <f t="shared" si="1"/>
        <v>0</v>
      </c>
      <c r="J33" s="87"/>
    </row>
    <row r="34" spans="1:10" s="113" customFormat="1" ht="25.5" customHeight="1">
      <c r="A34" s="107"/>
      <c r="B34" s="108" t="s">
        <v>26</v>
      </c>
      <c r="C34" s="109"/>
      <c r="D34" s="109"/>
      <c r="E34" s="110"/>
      <c r="F34" s="111"/>
      <c r="G34" s="111"/>
      <c r="H34" s="109"/>
      <c r="I34" s="112">
        <f t="shared" si="1"/>
        <v>0</v>
      </c>
      <c r="J34" s="87"/>
    </row>
    <row r="35" spans="1:10" s="113" customFormat="1" ht="24" customHeight="1">
      <c r="A35" s="180" t="s">
        <v>27</v>
      </c>
      <c r="B35" s="180"/>
      <c r="C35" s="114">
        <v>-1736</v>
      </c>
      <c r="D35" s="114">
        <v>-705</v>
      </c>
      <c r="E35" s="115">
        <v>-296</v>
      </c>
      <c r="F35" s="116">
        <v>-45</v>
      </c>
      <c r="G35" s="116">
        <v>-299</v>
      </c>
      <c r="H35" s="114">
        <v>-148</v>
      </c>
      <c r="I35" s="112">
        <f t="shared" si="1"/>
        <v>-3229</v>
      </c>
      <c r="J35" s="87"/>
    </row>
    <row r="36" spans="1:10" ht="12" customHeight="1">
      <c r="A36" s="173" t="s">
        <v>28</v>
      </c>
      <c r="B36" s="173"/>
      <c r="C36" s="34"/>
      <c r="D36" s="34"/>
      <c r="E36" s="102"/>
      <c r="F36" s="94"/>
      <c r="G36" s="94"/>
      <c r="H36" s="34"/>
      <c r="I36" s="35">
        <f t="shared" si="1"/>
        <v>0</v>
      </c>
      <c r="J36" s="87"/>
    </row>
    <row r="37" spans="1:10" ht="12" customHeight="1">
      <c r="A37" s="173" t="s">
        <v>29</v>
      </c>
      <c r="B37" s="173"/>
      <c r="C37" s="34"/>
      <c r="D37" s="34"/>
      <c r="E37" s="102"/>
      <c r="F37" s="94"/>
      <c r="G37" s="94"/>
      <c r="H37" s="34"/>
      <c r="I37" s="35">
        <f t="shared" si="1"/>
        <v>0</v>
      </c>
      <c r="J37" s="87"/>
    </row>
    <row r="38" spans="1:10" ht="12.75" customHeight="1">
      <c r="A38" s="173" t="s">
        <v>30</v>
      </c>
      <c r="B38" s="173"/>
      <c r="C38" s="34">
        <f>8594+231</f>
        <v>8825</v>
      </c>
      <c r="D38" s="18">
        <v>3490</v>
      </c>
      <c r="E38" s="102">
        <v>1464</v>
      </c>
      <c r="F38" s="94">
        <v>225</v>
      </c>
      <c r="G38" s="94">
        <v>1482</v>
      </c>
      <c r="H38" s="34">
        <v>734</v>
      </c>
      <c r="I38" s="35">
        <f t="shared" si="1"/>
        <v>16220</v>
      </c>
      <c r="J38" s="92">
        <v>20577.080000000002</v>
      </c>
    </row>
    <row r="39" spans="1:10" ht="15.75" customHeight="1">
      <c r="A39" s="172" t="s">
        <v>31</v>
      </c>
      <c r="B39" s="172"/>
      <c r="C39" s="3">
        <f>SUM(C12:C38)</f>
        <v>1647305.68</v>
      </c>
      <c r="D39" s="1">
        <f t="shared" ref="D39:H39" si="2">SUM(D12:D38)</f>
        <v>458827.48</v>
      </c>
      <c r="E39" s="3">
        <f t="shared" si="2"/>
        <v>196840.62</v>
      </c>
      <c r="F39" s="1">
        <f t="shared" si="2"/>
        <v>97150</v>
      </c>
      <c r="G39" s="1">
        <f t="shared" si="2"/>
        <v>224729</v>
      </c>
      <c r="H39" s="3">
        <f t="shared" si="2"/>
        <v>208030</v>
      </c>
      <c r="I39" s="3">
        <f>SUM(I12:I38)</f>
        <v>2832882.7800000003</v>
      </c>
      <c r="J39" s="5">
        <f>SUM(J12:J38)</f>
        <v>1791280.09</v>
      </c>
    </row>
    <row r="40" spans="1:10" ht="16.5" customHeight="1">
      <c r="A40" s="172" t="s">
        <v>32</v>
      </c>
      <c r="B40" s="172"/>
      <c r="C40" s="3">
        <f>C10-C39</f>
        <v>-404516.67999999993</v>
      </c>
      <c r="D40" s="1">
        <f t="shared" ref="D40:H40" si="3">D10-D39</f>
        <v>44944.520000000019</v>
      </c>
      <c r="E40" s="3">
        <f t="shared" si="3"/>
        <v>14688.380000000005</v>
      </c>
      <c r="F40" s="1">
        <f t="shared" si="3"/>
        <v>-64522</v>
      </c>
      <c r="G40" s="1">
        <f t="shared" si="3"/>
        <v>-9013</v>
      </c>
      <c r="H40" s="3">
        <f t="shared" si="3"/>
        <v>-102605</v>
      </c>
      <c r="I40" s="35">
        <f>I10-I39</f>
        <v>-521023.78000000026</v>
      </c>
      <c r="J40" s="5">
        <f>J10-J39</f>
        <v>-45787.680000000168</v>
      </c>
    </row>
    <row r="41" spans="1:10" ht="15.75" customHeight="1">
      <c r="A41" s="172" t="s">
        <v>33</v>
      </c>
      <c r="B41" s="172"/>
      <c r="C41" s="3"/>
      <c r="D41" s="1"/>
      <c r="E41" s="3"/>
      <c r="F41" s="1"/>
      <c r="G41" s="1"/>
      <c r="H41" s="3"/>
      <c r="I41" s="2"/>
      <c r="J41" s="43"/>
    </row>
    <row r="42" spans="1:10" ht="15.75" customHeight="1">
      <c r="A42" s="173" t="s">
        <v>34</v>
      </c>
      <c r="B42" s="173"/>
      <c r="C42" s="34"/>
      <c r="D42" s="94"/>
      <c r="E42" s="34"/>
      <c r="F42" s="94"/>
      <c r="G42" s="94"/>
      <c r="H42" s="34"/>
      <c r="I42" s="35">
        <f t="shared" ref="I42:I49" si="4">SUM(C42:H42)</f>
        <v>0</v>
      </c>
      <c r="J42" s="95"/>
    </row>
    <row r="43" spans="1:10" ht="13.5" customHeight="1">
      <c r="A43" s="173" t="s">
        <v>36</v>
      </c>
      <c r="B43" s="173"/>
      <c r="C43" s="34"/>
      <c r="D43" s="94"/>
      <c r="E43" s="34"/>
      <c r="F43" s="94"/>
      <c r="G43" s="94"/>
      <c r="H43" s="34"/>
      <c r="I43" s="35">
        <f t="shared" si="4"/>
        <v>0</v>
      </c>
      <c r="J43" s="84"/>
    </row>
    <row r="44" spans="1:10">
      <c r="A44" s="173" t="s">
        <v>37</v>
      </c>
      <c r="B44" s="173"/>
      <c r="C44" s="34"/>
      <c r="D44" s="94"/>
      <c r="E44" s="34"/>
      <c r="F44" s="94"/>
      <c r="G44" s="94"/>
      <c r="H44" s="34"/>
      <c r="I44" s="35">
        <f t="shared" si="4"/>
        <v>0</v>
      </c>
      <c r="J44" s="84"/>
    </row>
    <row r="45" spans="1:10" ht="11.25" customHeight="1">
      <c r="A45" s="21"/>
      <c r="B45" s="29" t="s">
        <v>38</v>
      </c>
      <c r="C45" s="71">
        <v>22352</v>
      </c>
      <c r="D45" s="96">
        <v>9077</v>
      </c>
      <c r="E45" s="71">
        <v>3807</v>
      </c>
      <c r="F45" s="96">
        <v>586</v>
      </c>
      <c r="G45" s="96">
        <v>3855</v>
      </c>
      <c r="H45" s="71">
        <v>1903</v>
      </c>
      <c r="I45" s="35">
        <f t="shared" si="4"/>
        <v>41580</v>
      </c>
      <c r="J45" s="87">
        <v>36373.75</v>
      </c>
    </row>
    <row r="46" spans="1:10" ht="12.75" customHeight="1">
      <c r="A46" s="21"/>
      <c r="B46" s="29" t="s">
        <v>39</v>
      </c>
      <c r="C46" s="71"/>
      <c r="D46" s="96"/>
      <c r="E46" s="71"/>
      <c r="F46" s="96"/>
      <c r="G46" s="96"/>
      <c r="H46" s="71"/>
      <c r="I46" s="35">
        <f t="shared" si="4"/>
        <v>0</v>
      </c>
      <c r="J46" s="87">
        <v>1906.25</v>
      </c>
    </row>
    <row r="47" spans="1:10" ht="11.25" customHeight="1">
      <c r="A47" s="21"/>
      <c r="B47" s="30" t="s">
        <v>35</v>
      </c>
      <c r="C47" s="34"/>
      <c r="D47" s="94"/>
      <c r="E47" s="34"/>
      <c r="F47" s="94"/>
      <c r="G47" s="94"/>
      <c r="H47" s="34"/>
      <c r="I47" s="35">
        <f t="shared" si="4"/>
        <v>0</v>
      </c>
      <c r="J47" s="87"/>
    </row>
    <row r="48" spans="1:10" ht="13.5" customHeight="1">
      <c r="A48" s="173" t="s">
        <v>40</v>
      </c>
      <c r="B48" s="173"/>
      <c r="C48" s="34"/>
      <c r="D48" s="94"/>
      <c r="E48" s="34"/>
      <c r="F48" s="94"/>
      <c r="G48" s="94"/>
      <c r="H48" s="34"/>
      <c r="I48" s="35">
        <f t="shared" si="4"/>
        <v>0</v>
      </c>
      <c r="J48" s="98"/>
    </row>
    <row r="49" spans="1:10">
      <c r="A49" s="172" t="s">
        <v>41</v>
      </c>
      <c r="B49" s="172"/>
      <c r="C49" s="3">
        <f>SUM(C45:C48)</f>
        <v>22352</v>
      </c>
      <c r="D49" s="1">
        <f t="shared" ref="D49:H49" si="5">SUM(D45:D48)</f>
        <v>9077</v>
      </c>
      <c r="E49" s="3">
        <f t="shared" si="5"/>
        <v>3807</v>
      </c>
      <c r="F49" s="1">
        <f t="shared" si="5"/>
        <v>586</v>
      </c>
      <c r="G49" s="1">
        <f t="shared" si="5"/>
        <v>3855</v>
      </c>
      <c r="H49" s="3">
        <f t="shared" si="5"/>
        <v>1903</v>
      </c>
      <c r="I49" s="3">
        <f t="shared" si="4"/>
        <v>41580</v>
      </c>
      <c r="J49" s="10">
        <f>J45+J46</f>
        <v>38280</v>
      </c>
    </row>
    <row r="50" spans="1:10">
      <c r="A50" s="172" t="s">
        <v>42</v>
      </c>
      <c r="B50" s="172"/>
      <c r="C50" s="3"/>
      <c r="D50" s="1"/>
      <c r="E50" s="3"/>
      <c r="F50" s="1"/>
      <c r="G50" s="1"/>
      <c r="H50" s="3"/>
      <c r="I50" s="2"/>
      <c r="J50" s="43"/>
    </row>
    <row r="51" spans="1:10" ht="12.75" customHeight="1">
      <c r="A51" s="173" t="s">
        <v>43</v>
      </c>
      <c r="B51" s="173"/>
      <c r="C51" s="34"/>
      <c r="D51" s="94"/>
      <c r="E51" s="34"/>
      <c r="F51" s="94"/>
      <c r="G51" s="94"/>
      <c r="H51" s="34"/>
      <c r="I51" s="35">
        <v>0</v>
      </c>
      <c r="J51" s="95"/>
    </row>
    <row r="52" spans="1:10" ht="12" customHeight="1">
      <c r="A52" s="173" t="s">
        <v>44</v>
      </c>
      <c r="B52" s="173"/>
      <c r="C52" s="34"/>
      <c r="D52" s="94"/>
      <c r="E52" s="34"/>
      <c r="F52" s="94"/>
      <c r="G52" s="94"/>
      <c r="H52" s="34"/>
      <c r="I52" s="35">
        <v>0</v>
      </c>
      <c r="J52" s="98"/>
    </row>
    <row r="53" spans="1:10">
      <c r="A53" s="172" t="s">
        <v>45</v>
      </c>
      <c r="B53" s="172"/>
      <c r="C53" s="3"/>
      <c r="D53" s="1"/>
      <c r="E53" s="3"/>
      <c r="F53" s="1"/>
      <c r="G53" s="1"/>
      <c r="H53" s="3"/>
      <c r="I53" s="2">
        <v>0</v>
      </c>
      <c r="J53" s="99"/>
    </row>
    <row r="54" spans="1:10">
      <c r="A54" s="172" t="s">
        <v>46</v>
      </c>
      <c r="B54" s="172"/>
      <c r="C54" s="2">
        <f t="shared" ref="C54:H54" si="6">C40-C49</f>
        <v>-426868.67999999993</v>
      </c>
      <c r="D54" s="2">
        <f t="shared" si="6"/>
        <v>35867.520000000019</v>
      </c>
      <c r="E54" s="2">
        <f t="shared" si="6"/>
        <v>10881.380000000005</v>
      </c>
      <c r="F54" s="2">
        <f t="shared" si="6"/>
        <v>-65108</v>
      </c>
      <c r="G54" s="2">
        <f t="shared" si="6"/>
        <v>-12868</v>
      </c>
      <c r="H54" s="2">
        <f t="shared" si="6"/>
        <v>-104508</v>
      </c>
      <c r="I54" s="2">
        <f>I40-I49</f>
        <v>-562603.78000000026</v>
      </c>
      <c r="J54" s="5">
        <f>J40-J49</f>
        <v>-84067.680000000168</v>
      </c>
    </row>
    <row r="55" spans="1:10" ht="23.25" customHeight="1">
      <c r="A55" s="170" t="s">
        <v>47</v>
      </c>
      <c r="B55" s="171"/>
      <c r="C55" s="39"/>
      <c r="D55" s="100"/>
      <c r="E55" s="39"/>
      <c r="F55" s="100"/>
      <c r="G55" s="100"/>
      <c r="H55" s="39"/>
      <c r="I55" s="78">
        <v>0</v>
      </c>
      <c r="J55" s="95"/>
    </row>
    <row r="56" spans="1:10" ht="10.5" customHeight="1">
      <c r="A56" s="21"/>
      <c r="B56" s="31" t="s">
        <v>48</v>
      </c>
      <c r="C56" s="34"/>
      <c r="D56" s="94"/>
      <c r="E56" s="34"/>
      <c r="F56" s="94"/>
      <c r="G56" s="94"/>
      <c r="H56" s="34"/>
      <c r="I56" s="35">
        <v>0</v>
      </c>
      <c r="J56" s="98"/>
    </row>
    <row r="57" spans="1:10">
      <c r="A57" s="172" t="s">
        <v>49</v>
      </c>
      <c r="B57" s="172"/>
      <c r="C57" s="3">
        <f>C54</f>
        <v>-426868.67999999993</v>
      </c>
      <c r="D57" s="3">
        <f t="shared" ref="D57:I57" si="7">D54</f>
        <v>35867.520000000019</v>
      </c>
      <c r="E57" s="3">
        <f t="shared" si="7"/>
        <v>10881.380000000005</v>
      </c>
      <c r="F57" s="3">
        <f t="shared" si="7"/>
        <v>-65108</v>
      </c>
      <c r="G57" s="3">
        <f t="shared" si="7"/>
        <v>-12868</v>
      </c>
      <c r="H57" s="3">
        <f t="shared" si="7"/>
        <v>-104508</v>
      </c>
      <c r="I57" s="3">
        <f t="shared" si="7"/>
        <v>-562603.78000000026</v>
      </c>
      <c r="J57" s="5">
        <f>J54</f>
        <v>-84067.680000000168</v>
      </c>
    </row>
    <row r="58" spans="1:10">
      <c r="A58" s="101"/>
      <c r="B58" s="101"/>
      <c r="J58" s="43"/>
    </row>
    <row r="59" spans="1:10">
      <c r="A59" s="101"/>
      <c r="B59" s="101"/>
      <c r="C59" s="16"/>
      <c r="D59" s="16"/>
      <c r="E59" s="16"/>
      <c r="F59" s="16"/>
      <c r="G59" s="16"/>
      <c r="H59" s="16"/>
      <c r="I59" s="16"/>
      <c r="J59" s="43"/>
    </row>
  </sheetData>
  <mergeCells count="41">
    <mergeCell ref="A6:B6"/>
    <mergeCell ref="A7:B7"/>
    <mergeCell ref="C1:I1"/>
    <mergeCell ref="C2:I2"/>
    <mergeCell ref="A4:B5"/>
    <mergeCell ref="I4:I6"/>
    <mergeCell ref="F4:F6"/>
    <mergeCell ref="C3:I3"/>
    <mergeCell ref="A8:B8"/>
    <mergeCell ref="A10:B10"/>
    <mergeCell ref="A11:B11"/>
    <mergeCell ref="A12:B12"/>
    <mergeCell ref="A13:B13"/>
    <mergeCell ref="A22:B22"/>
    <mergeCell ref="A23:B23"/>
    <mergeCell ref="A30:B30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8:B48"/>
    <mergeCell ref="A49:B49"/>
    <mergeCell ref="A55:B55"/>
    <mergeCell ref="A57:B57"/>
    <mergeCell ref="A50:B50"/>
    <mergeCell ref="A51:B51"/>
    <mergeCell ref="A52:B52"/>
    <mergeCell ref="A53:B53"/>
    <mergeCell ref="A54:B54"/>
    <mergeCell ref="J4:J5"/>
    <mergeCell ref="C4:C6"/>
    <mergeCell ref="D4:D6"/>
    <mergeCell ref="E4:E6"/>
    <mergeCell ref="G4:G6"/>
    <mergeCell ref="H4:H6"/>
  </mergeCells>
  <pageMargins left="0.54" right="0.19685039370078741" top="0.15748031496062992" bottom="0.19685039370078741" header="0.19685039370078741" footer="0.19685039370078741"/>
  <pageSetup paperSize="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152400</xdr:colOff>
                <xdr:row>0</xdr:row>
                <xdr:rowOff>30480</xdr:rowOff>
              </from>
              <to>
                <xdr:col>1</xdr:col>
                <xdr:colOff>754380</xdr:colOff>
                <xdr:row>2</xdr:row>
                <xdr:rowOff>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SPAZZAMENTO</vt:lpstr>
      <vt:lpstr>RACCOLTA DIFF. E IMPIANTI</vt:lpstr>
      <vt:lpstr>PULIZIA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carmelafabiano</dc:creator>
  <cp:lastModifiedBy>Michela</cp:lastModifiedBy>
  <cp:lastPrinted>2021-05-14T07:06:39Z</cp:lastPrinted>
  <dcterms:created xsi:type="dcterms:W3CDTF">2019-04-23T10:59:13Z</dcterms:created>
  <dcterms:modified xsi:type="dcterms:W3CDTF">2025-01-06T20:31:17Z</dcterms:modified>
</cp:coreProperties>
</file>